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9660" windowHeight="4410" tabRatio="859" activeTab="0"/>
  </bookViews>
  <sheets>
    <sheet name="EOQ" sheetId="1" r:id="rId1"/>
    <sheet name="All-Units Discount" sheetId="2" r:id="rId2"/>
    <sheet name="Production Lot Size" sheetId="3" r:id="rId3"/>
    <sheet name="Planned Shortage" sheetId="4" r:id="rId4"/>
    <sheet name="Cycle Service Level" sheetId="5" r:id="rId5"/>
  </sheets>
  <definedNames>
    <definedName name="solver_adj" localSheetId="0" hidden="1">'EOQ'!$H$5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'EOQ'!$H$9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<sst xmlns="http://schemas.openxmlformats.org/spreadsheetml/2006/main" count="132" uniqueCount="60">
  <si>
    <t xml:space="preserve">Q = </t>
  </si>
  <si>
    <t>TV(Q) =</t>
  </si>
  <si>
    <t>TC(Q) =</t>
  </si>
  <si>
    <t>T =</t>
  </si>
  <si>
    <t>R =</t>
  </si>
  <si>
    <t>Annual Demand, D =</t>
  </si>
  <si>
    <t>Per Unit Cost, C =</t>
  </si>
  <si>
    <t>Annual Holding Cost Rate, H =</t>
  </si>
  <si>
    <t>Annual Holding Cost Per Unit, Ch =</t>
  </si>
  <si>
    <t>Order Cost, Co =</t>
  </si>
  <si>
    <t>Lead Time (in years), L =</t>
  </si>
  <si>
    <t>Safety Stock, SS =</t>
  </si>
  <si>
    <t>INPUTS</t>
  </si>
  <si>
    <t>OUTPUTS</t>
  </si>
  <si>
    <t>Values</t>
  </si>
  <si>
    <t>Cycle Time (in years), T =</t>
  </si>
  <si>
    <t>Reorder Point, R =</t>
  </si>
  <si>
    <t>Determination of Inventory Policy for the EOQ Model</t>
  </si>
  <si>
    <t xml:space="preserve"> </t>
  </si>
  <si>
    <t>OPTIMAL</t>
  </si>
  <si>
    <t>ASSIGNED</t>
  </si>
  <si>
    <t xml:space="preserve">Order Quantity, Q* = </t>
  </si>
  <si>
    <t>Q =</t>
  </si>
  <si>
    <t>Total Annual Variable Cost, TV(Q*) =</t>
  </si>
  <si>
    <t>Total Annual Cost, TC(Q*) =</t>
  </si>
  <si>
    <t>Calculation of Optimal Inventory Policy Under All-Units Quantity Discounts</t>
  </si>
  <si>
    <t>DISCOUNTS</t>
  </si>
  <si>
    <t>Level</t>
  </si>
  <si>
    <t>Discount Price</t>
  </si>
  <si>
    <t>Modified Q*</t>
  </si>
  <si>
    <t>Determination of Inventory Policy for Production Lot Size Model</t>
  </si>
  <si>
    <t>Annual Production Rate, P =</t>
  </si>
  <si>
    <t>Calculation of Optimal Inventory Policy for a Planned Shortage Model</t>
  </si>
  <si>
    <t>Backorder Level, S* =</t>
  </si>
  <si>
    <t>S =</t>
  </si>
  <si>
    <t>Annual Backorder Cost, Cs =</t>
  </si>
  <si>
    <t>Desired Service Level =</t>
  </si>
  <si>
    <t>% of Customers Backordered =</t>
  </si>
  <si>
    <t>% Back. =</t>
  </si>
  <si>
    <t>Set Up Cost, Co =</t>
  </si>
  <si>
    <t>N =</t>
  </si>
  <si>
    <t># of Cycles Per Year, N =</t>
  </si>
  <si>
    <t>Fixed Admin. Backorder Cost, Cb =</t>
  </si>
  <si>
    <t>Mean Demand During Lead Time =</t>
  </si>
  <si>
    <t>Standard Deviation of Demand During Lead Time =</t>
  </si>
  <si>
    <t>Reorder Point (Assigned By User) =</t>
  </si>
  <si>
    <t>Reorder Point (Calculated) =</t>
  </si>
  <si>
    <t>Service Level (Of Assigned Reorder Point) =</t>
  </si>
  <si>
    <t>Determining the Reorder Point and Safety Stock for a Cycle Service Level</t>
  </si>
  <si>
    <t>Safety Stock</t>
  </si>
  <si>
    <t>Of Calculated Reorder Point</t>
  </si>
  <si>
    <t>Of Assigned Reorder Point</t>
  </si>
  <si>
    <t>Undiscounted Unit Cost, C =</t>
  </si>
  <si>
    <t>Undiscounted Annual Holding Cost Per Unit, Ch =</t>
  </si>
  <si>
    <t>Discount Breakpoint</t>
  </si>
  <si>
    <t>Average Time Between Orders (in years), T =</t>
  </si>
  <si>
    <t># of Orders Per Year, N =</t>
  </si>
  <si>
    <t>\</t>
  </si>
  <si>
    <t>TC(Modified Q*)</t>
  </si>
  <si>
    <t>UnmodifiedQ*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</si>
</sst>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</numFmts>
  <fonts count="3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6" borderId="13" xfId="0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5" borderId="15" xfId="0" applyFill="1" applyBorder="1" applyAlignment="1">
      <alignment/>
    </xf>
    <xf numFmtId="0" fontId="0" fillId="36" borderId="16" xfId="0" applyFill="1" applyBorder="1" applyAlignment="1" applyProtection="1">
      <alignment/>
      <protection locked="0"/>
    </xf>
    <xf numFmtId="0" fontId="0" fillId="37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37" borderId="15" xfId="0" applyFill="1" applyBorder="1" applyAlignment="1">
      <alignment/>
    </xf>
    <xf numFmtId="166" fontId="0" fillId="38" borderId="16" xfId="0" applyNumberFormat="1" applyFill="1" applyBorder="1" applyAlignment="1">
      <alignment/>
    </xf>
    <xf numFmtId="2" fontId="0" fillId="39" borderId="17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" fontId="2" fillId="0" borderId="0" xfId="0" applyNumberFormat="1" applyFont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0" fillId="40" borderId="18" xfId="0" applyFill="1" applyBorder="1" applyAlignment="1" applyProtection="1">
      <alignment/>
      <protection/>
    </xf>
    <xf numFmtId="0" fontId="0" fillId="38" borderId="13" xfId="0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2" fontId="0" fillId="38" borderId="16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2" fontId="0" fillId="34" borderId="22" xfId="0" applyNumberFormat="1" applyFill="1" applyBorder="1" applyAlignment="1">
      <alignment/>
    </xf>
    <xf numFmtId="164" fontId="0" fillId="36" borderId="14" xfId="0" applyNumberFormat="1" applyFill="1" applyBorder="1" applyAlignment="1" applyProtection="1">
      <alignment horizontal="center"/>
      <protection locked="0"/>
    </xf>
    <xf numFmtId="164" fontId="0" fillId="36" borderId="16" xfId="0" applyNumberFormat="1" applyFill="1" applyBorder="1" applyAlignment="1" applyProtection="1">
      <alignment horizontal="center"/>
      <protection locked="0"/>
    </xf>
    <xf numFmtId="0" fontId="3" fillId="40" borderId="23" xfId="0" applyFont="1" applyFill="1" applyBorder="1" applyAlignment="1">
      <alignment horizontal="center"/>
    </xf>
    <xf numFmtId="0" fontId="3" fillId="40" borderId="24" xfId="0" applyFont="1" applyFill="1" applyBorder="1" applyAlignment="1">
      <alignment horizontal="center" wrapText="1"/>
    </xf>
    <xf numFmtId="2" fontId="3" fillId="40" borderId="25" xfId="0" applyNumberFormat="1" applyFont="1" applyFill="1" applyBorder="1" applyAlignment="1">
      <alignment horizontal="center"/>
    </xf>
    <xf numFmtId="0" fontId="0" fillId="36" borderId="26" xfId="0" applyFill="1" applyBorder="1" applyAlignment="1" applyProtection="1">
      <alignment horizontal="center"/>
      <protection locked="0"/>
    </xf>
    <xf numFmtId="0" fontId="0" fillId="36" borderId="27" xfId="0" applyFill="1" applyBorder="1" applyAlignment="1" applyProtection="1">
      <alignment horizontal="center"/>
      <protection locked="0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0" fontId="3" fillId="40" borderId="21" xfId="0" applyFont="1" applyFill="1" applyBorder="1" applyAlignment="1">
      <alignment horizontal="center"/>
    </xf>
    <xf numFmtId="0" fontId="3" fillId="40" borderId="22" xfId="0" applyFont="1" applyFill="1" applyBorder="1" applyAlignment="1">
      <alignment horizontal="center"/>
    </xf>
    <xf numFmtId="1" fontId="0" fillId="39" borderId="31" xfId="0" applyNumberFormat="1" applyFill="1" applyBorder="1" applyAlignment="1" applyProtection="1">
      <alignment horizontal="center"/>
      <protection hidden="1"/>
    </xf>
    <xf numFmtId="0" fontId="0" fillId="39" borderId="14" xfId="0" applyFill="1" applyBorder="1" applyAlignment="1" applyProtection="1">
      <alignment horizontal="center"/>
      <protection hidden="1"/>
    </xf>
    <xf numFmtId="1" fontId="0" fillId="39" borderId="19" xfId="0" applyNumberFormat="1" applyFill="1" applyBorder="1" applyAlignment="1" applyProtection="1">
      <alignment horizontal="center"/>
      <protection hidden="1"/>
    </xf>
    <xf numFmtId="2" fontId="0" fillId="39" borderId="32" xfId="0" applyNumberFormat="1" applyFill="1" applyBorder="1" applyAlignment="1" applyProtection="1">
      <alignment horizontal="center"/>
      <protection hidden="1"/>
    </xf>
    <xf numFmtId="0" fontId="0" fillId="39" borderId="16" xfId="0" applyFill="1" applyBorder="1" applyAlignment="1" applyProtection="1">
      <alignment horizontal="center"/>
      <protection hidden="1"/>
    </xf>
    <xf numFmtId="0" fontId="2" fillId="34" borderId="20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1" fillId="37" borderId="35" xfId="0" applyFont="1" applyFill="1" applyBorder="1" applyAlignment="1">
      <alignment/>
    </xf>
    <xf numFmtId="0" fontId="0" fillId="39" borderId="14" xfId="0" applyFill="1" applyBorder="1" applyAlignment="1">
      <alignment/>
    </xf>
    <xf numFmtId="0" fontId="1" fillId="37" borderId="12" xfId="0" applyFont="1" applyFill="1" applyBorder="1" applyAlignment="1">
      <alignment/>
    </xf>
    <xf numFmtId="164" fontId="0" fillId="39" borderId="14" xfId="0" applyNumberFormat="1" applyFill="1" applyBorder="1" applyAlignment="1">
      <alignment/>
    </xf>
    <xf numFmtId="0" fontId="1" fillId="37" borderId="15" xfId="0" applyFont="1" applyFill="1" applyBorder="1" applyAlignment="1">
      <alignment/>
    </xf>
    <xf numFmtId="2" fontId="0" fillId="39" borderId="16" xfId="0" applyNumberFormat="1" applyFill="1" applyBorder="1" applyAlignment="1">
      <alignment/>
    </xf>
    <xf numFmtId="0" fontId="0" fillId="34" borderId="20" xfId="0" applyFill="1" applyBorder="1" applyAlignment="1">
      <alignment horizontal="center"/>
    </xf>
    <xf numFmtId="2" fontId="2" fillId="34" borderId="34" xfId="0" applyNumberFormat="1" applyFont="1" applyFill="1" applyBorder="1" applyAlignment="1">
      <alignment horizontal="center"/>
    </xf>
    <xf numFmtId="0" fontId="1" fillId="35" borderId="35" xfId="0" applyFont="1" applyFill="1" applyBorder="1" applyAlignment="1">
      <alignment/>
    </xf>
    <xf numFmtId="2" fontId="0" fillId="36" borderId="14" xfId="0" applyNumberFormat="1" applyFill="1" applyBorder="1" applyAlignment="1" applyProtection="1">
      <alignment/>
      <protection locked="0"/>
    </xf>
    <xf numFmtId="0" fontId="1" fillId="35" borderId="12" xfId="0" applyFont="1" applyFill="1" applyBorder="1" applyAlignment="1">
      <alignment/>
    </xf>
    <xf numFmtId="164" fontId="0" fillId="38" borderId="14" xfId="0" applyNumberFormat="1" applyFill="1" applyBorder="1" applyAlignment="1" applyProtection="1">
      <alignment/>
      <protection/>
    </xf>
    <xf numFmtId="165" fontId="0" fillId="36" borderId="14" xfId="0" applyNumberFormat="1" applyFill="1" applyBorder="1" applyAlignment="1" applyProtection="1">
      <alignment/>
      <protection locked="0"/>
    </xf>
    <xf numFmtId="0" fontId="1" fillId="35" borderId="15" xfId="0" applyFont="1" applyFill="1" applyBorder="1" applyAlignment="1">
      <alignment/>
    </xf>
    <xf numFmtId="2" fontId="0" fillId="36" borderId="16" xfId="0" applyNumberFormat="1" applyFill="1" applyBorder="1" applyAlignment="1" applyProtection="1">
      <alignment/>
      <protection locked="0"/>
    </xf>
    <xf numFmtId="0" fontId="0" fillId="38" borderId="36" xfId="0" applyFill="1" applyBorder="1" applyAlignment="1" applyProtection="1">
      <alignment horizontal="center"/>
      <protection/>
    </xf>
    <xf numFmtId="164" fontId="0" fillId="38" borderId="13" xfId="0" applyNumberForma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2" fontId="2" fillId="0" borderId="0" xfId="0" applyNumberFormat="1" applyFont="1" applyFill="1" applyAlignment="1" applyProtection="1">
      <alignment/>
      <protection locked="0"/>
    </xf>
    <xf numFmtId="2" fontId="0" fillId="34" borderId="22" xfId="0" applyNumberFormat="1" applyFill="1" applyBorder="1" applyAlignment="1">
      <alignment horizontal="center"/>
    </xf>
    <xf numFmtId="2" fontId="0" fillId="38" borderId="14" xfId="0" applyNumberFormat="1" applyFill="1" applyBorder="1" applyAlignment="1" applyProtection="1">
      <alignment/>
      <protection/>
    </xf>
    <xf numFmtId="0" fontId="0" fillId="34" borderId="22" xfId="0" applyFill="1" applyBorder="1" applyAlignment="1">
      <alignment horizontal="center"/>
    </xf>
    <xf numFmtId="2" fontId="0" fillId="39" borderId="14" xfId="0" applyNumberFormat="1" applyFill="1" applyBorder="1" applyAlignment="1">
      <alignment/>
    </xf>
    <xf numFmtId="164" fontId="0" fillId="38" borderId="14" xfId="0" applyNumberFormat="1" applyFill="1" applyBorder="1" applyAlignment="1">
      <alignment/>
    </xf>
    <xf numFmtId="2" fontId="0" fillId="38" borderId="14" xfId="0" applyNumberFormat="1" applyFill="1" applyBorder="1" applyAlignment="1">
      <alignment/>
    </xf>
    <xf numFmtId="2" fontId="0" fillId="38" borderId="16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0" fillId="37" borderId="35" xfId="0" applyFill="1" applyBorder="1" applyAlignment="1">
      <alignment/>
    </xf>
    <xf numFmtId="2" fontId="2" fillId="34" borderId="22" xfId="0" applyNumberFormat="1" applyFont="1" applyFill="1" applyBorder="1" applyAlignment="1">
      <alignment horizontal="center"/>
    </xf>
    <xf numFmtId="165" fontId="0" fillId="36" borderId="16" xfId="0" applyNumberFormat="1" applyFill="1" applyBorder="1" applyAlignment="1" applyProtection="1">
      <alignment/>
      <protection locked="0"/>
    </xf>
    <xf numFmtId="164" fontId="0" fillId="36" borderId="14" xfId="0" applyNumberForma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29.00390625" style="0" customWidth="1"/>
    <col min="2" max="2" width="9.140625" style="1" customWidth="1"/>
    <col min="3" max="3" width="4.140625" style="0" customWidth="1"/>
    <col min="4" max="4" width="36.7109375" style="0" customWidth="1"/>
    <col min="5" max="5" width="12.57421875" style="0" customWidth="1"/>
    <col min="6" max="6" width="2.57421875" style="0" customWidth="1"/>
    <col min="7" max="7" width="10.7109375" style="0" customWidth="1"/>
    <col min="8" max="8" width="11.00390625" style="0" customWidth="1"/>
  </cols>
  <sheetData>
    <row r="1" spans="1:23" ht="12.75">
      <c r="A1" s="6" t="s">
        <v>17</v>
      </c>
      <c r="B1" s="8"/>
      <c r="C1" s="9"/>
      <c r="D1" s="9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3.5" thickBot="1">
      <c r="A2" s="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s="3" customFormat="1" ht="12.75">
      <c r="A3" s="71"/>
      <c r="B3" s="84"/>
      <c r="D3" s="61" t="s">
        <v>19</v>
      </c>
      <c r="E3" s="86"/>
      <c r="G3" s="61" t="s">
        <v>20</v>
      </c>
      <c r="H3" s="8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s="3" customFormat="1" ht="12.75">
      <c r="A4" s="63" t="s">
        <v>12</v>
      </c>
      <c r="B4" s="72" t="s">
        <v>14</v>
      </c>
      <c r="D4" s="63" t="s">
        <v>13</v>
      </c>
      <c r="E4" s="64" t="s">
        <v>14</v>
      </c>
      <c r="G4" s="63" t="s">
        <v>13</v>
      </c>
      <c r="H4" s="64" t="s">
        <v>14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ht="12.75">
      <c r="A5" s="73" t="s">
        <v>5</v>
      </c>
      <c r="B5" s="74"/>
      <c r="D5" s="65" t="s">
        <v>21</v>
      </c>
      <c r="E5" s="87" t="e">
        <f>SQRT(2*$B$5*$B$9/$B$8)</f>
        <v>#DIV/0!</v>
      </c>
      <c r="G5" s="65" t="s">
        <v>22</v>
      </c>
      <c r="H5" s="74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1:23" ht="12.75">
      <c r="A6" s="75" t="s">
        <v>6</v>
      </c>
      <c r="B6" s="74"/>
      <c r="D6" s="67" t="s">
        <v>55</v>
      </c>
      <c r="E6" s="68" t="e">
        <f>E5/B5</f>
        <v>#DIV/0!</v>
      </c>
      <c r="G6" s="67" t="s">
        <v>3</v>
      </c>
      <c r="H6" s="88" t="e">
        <f>H5/B5</f>
        <v>#DIV/0!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2.75">
      <c r="A7" s="75" t="s">
        <v>7</v>
      </c>
      <c r="B7" s="96"/>
      <c r="D7" s="67" t="s">
        <v>56</v>
      </c>
      <c r="E7" s="68" t="e">
        <f>1/E6</f>
        <v>#DIV/0!</v>
      </c>
      <c r="G7" s="67" t="s">
        <v>40</v>
      </c>
      <c r="H7" s="88" t="e">
        <f>1/H6</f>
        <v>#DIV/0!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3" ht="12.75">
      <c r="A8" s="75" t="s">
        <v>8</v>
      </c>
      <c r="B8" s="85">
        <f>B6*B7</f>
        <v>0</v>
      </c>
      <c r="D8" s="67" t="s">
        <v>16</v>
      </c>
      <c r="E8" s="68">
        <f>IF(AND($B$10="",$B$11=""),"",$B$10*$B$5-INT(($B$10*$B$5)/E5)*E5+$B$11)</f>
      </c>
      <c r="G8" s="67" t="s">
        <v>4</v>
      </c>
      <c r="H8" s="68">
        <f>IF(AND($B$10="",$B$11=""),"",$B$10*$B$5-INT(($B$10*$B$5)/H5)*H5+$B$11)</f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2.75">
      <c r="A9" s="75" t="s">
        <v>9</v>
      </c>
      <c r="B9" s="74"/>
      <c r="D9" s="67" t="s">
        <v>23</v>
      </c>
      <c r="E9" s="87" t="e">
        <f>(E5/2)*$B$8+($B$5/E5)*$B$9</f>
        <v>#DIV/0!</v>
      </c>
      <c r="G9" s="67" t="s">
        <v>1</v>
      </c>
      <c r="H9" s="89" t="e">
        <f>(H5/2)*$B$8+($B$5/H5)*$B$9</f>
        <v>#DIV/0!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13.5" thickBot="1">
      <c r="A10" s="75" t="s">
        <v>10</v>
      </c>
      <c r="B10" s="77"/>
      <c r="D10" s="69" t="s">
        <v>24</v>
      </c>
      <c r="E10" s="70" t="e">
        <f>$B$5*$B$6+E9+$B$8*B11</f>
        <v>#DIV/0!</v>
      </c>
      <c r="G10" s="69" t="s">
        <v>2</v>
      </c>
      <c r="H10" s="90" t="e">
        <f>$B$5*$B$6+H9+$B$8*$B$11</f>
        <v>#DIV/0!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3.5" thickBot="1">
      <c r="A11" s="78" t="s">
        <v>11</v>
      </c>
      <c r="B11" s="79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1:23" ht="12.75">
      <c r="A12" s="22"/>
      <c r="B12" s="23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15" ht="12.75">
      <c r="A13" s="22"/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.75">
      <c r="A14" s="22"/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.75">
      <c r="A16" s="22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2"/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2"/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2.75">
      <c r="A20" s="22"/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22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.75">
      <c r="A22" s="22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.75">
      <c r="A23" s="22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2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2.75">
      <c r="A25" s="22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>
      <c r="A26" s="22"/>
      <c r="B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2"/>
      <c r="B28" s="2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2"/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2"/>
      <c r="B30" s="2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2"/>
      <c r="B31" s="23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22"/>
      <c r="B32" s="2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22"/>
      <c r="B33" s="2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75">
      <c r="A34" s="22"/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.75">
      <c r="A35" s="22"/>
      <c r="B35" s="2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.75">
      <c r="A36" s="22"/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.75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22"/>
      <c r="B38" s="2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2.75">
      <c r="A39" s="22"/>
      <c r="B39" s="23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>
      <c r="A40" s="22"/>
      <c r="B40" s="23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.75">
      <c r="A41" s="22"/>
      <c r="B41" s="2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.75">
      <c r="A42" s="22"/>
      <c r="B42" s="2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.75">
      <c r="A43" s="22"/>
      <c r="B43" s="2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12.75">
      <c r="A44" s="22"/>
      <c r="B44" s="2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2.75">
      <c r="A45" s="22"/>
      <c r="B45" s="23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12.75">
      <c r="A46" s="22"/>
      <c r="B46" s="23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ht="12.75">
      <c r="A47" s="22"/>
      <c r="B47" s="2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.75">
      <c r="A48" s="22"/>
      <c r="B48" s="23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2.75">
      <c r="A49" s="22"/>
      <c r="B49" s="2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2.75">
      <c r="A50" s="22"/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2.75">
      <c r="A51" s="22"/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2.75">
      <c r="A52" s="22"/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2.75">
      <c r="A53" s="22"/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.75">
      <c r="A54" s="22"/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.75">
      <c r="A55" s="22"/>
      <c r="B55" s="23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2.75">
      <c r="A56" s="22"/>
      <c r="B56" s="23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2.75">
      <c r="A57" s="22"/>
      <c r="B57" s="23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>
      <c r="A58" s="22"/>
      <c r="B58" s="2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.75">
      <c r="A59" s="22"/>
      <c r="B59" s="23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.75">
      <c r="A60" s="22"/>
      <c r="B60" s="2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.75">
      <c r="A61" s="22"/>
      <c r="B61" s="23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.75">
      <c r="A62" s="22"/>
      <c r="B62" s="2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.75">
      <c r="A63" s="22"/>
      <c r="B63" s="2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.75">
      <c r="A64" s="22"/>
      <c r="B64" s="2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.75">
      <c r="A65" s="22"/>
      <c r="B65" s="2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1:15" ht="12.75">
      <c r="A66" s="22"/>
      <c r="B66" s="2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ht="12.75">
      <c r="A67" s="22"/>
      <c r="B67" s="2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.75">
      <c r="A68" s="22"/>
      <c r="B68" s="2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.75">
      <c r="A69" s="22"/>
      <c r="B69" s="2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.75">
      <c r="A70" s="22"/>
      <c r="B70" s="23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ht="12.75">
      <c r="A71" s="22"/>
      <c r="B71" s="23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2.75">
      <c r="A72" s="22"/>
      <c r="B72" s="23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.75">
      <c r="A73" s="22"/>
      <c r="B73" s="23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.75">
      <c r="A74" s="22"/>
      <c r="B74" s="23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1:15" ht="12.75">
      <c r="A75" s="22"/>
      <c r="B75" s="23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 ht="12.75">
      <c r="A76" s="22"/>
      <c r="B76" s="23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.75">
      <c r="A77" s="22"/>
      <c r="B77" s="23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.75">
      <c r="A78" s="22"/>
      <c r="B78" s="2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.75">
      <c r="A79" s="22"/>
      <c r="B79" s="23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2.75">
      <c r="A80" s="22"/>
      <c r="B80" s="23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2.75">
      <c r="A81" s="22"/>
      <c r="B81" s="23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.75">
      <c r="A82" s="22"/>
      <c r="B82" s="23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2.75">
      <c r="A83" s="22"/>
      <c r="B83" s="2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.75">
      <c r="A84" s="22"/>
      <c r="B84" s="23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2.75">
      <c r="A85" s="22"/>
      <c r="B85" s="23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2.75">
      <c r="A86" s="22"/>
      <c r="B86" s="23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.75">
      <c r="A87" s="22"/>
      <c r="B87" s="23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.75">
      <c r="A88" s="22"/>
      <c r="B88" s="23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.75">
      <c r="A89" s="22"/>
      <c r="B89" s="23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2.75">
      <c r="A90" s="22"/>
      <c r="B90" s="23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2.75">
      <c r="A91" s="22"/>
      <c r="B91" s="23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.75">
      <c r="A92" s="22"/>
      <c r="B92" s="23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.75">
      <c r="A93" s="22"/>
      <c r="B93" s="23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.75">
      <c r="A94" s="22"/>
      <c r="B94" s="23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.75">
      <c r="A95" s="22"/>
      <c r="B95" s="23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2.75">
      <c r="A96" s="22"/>
      <c r="B96" s="23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12.75">
      <c r="A97" s="22"/>
      <c r="B97" s="23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2.75">
      <c r="A98" s="22"/>
      <c r="B98" s="23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2.75">
      <c r="A99" s="22"/>
      <c r="B99" s="23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2.75">
      <c r="A100" s="22"/>
      <c r="B100" s="23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2.75">
      <c r="A101" s="22"/>
      <c r="B101" s="23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2.75">
      <c r="A102" s="22"/>
      <c r="B102" s="23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ht="12.75">
      <c r="A103" s="22"/>
      <c r="B103" s="23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.75">
      <c r="A104" s="22"/>
      <c r="B104" s="23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2.75">
      <c r="A105" s="22"/>
      <c r="B105" s="23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2.75">
      <c r="A106" s="22"/>
      <c r="B106" s="23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12.75">
      <c r="A107" s="22"/>
      <c r="B107" s="23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2.75">
      <c r="A108" s="22"/>
      <c r="B108" s="23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.75">
      <c r="A109" s="22"/>
      <c r="B109" s="23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2.75">
      <c r="A110" s="22"/>
      <c r="B110" s="23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12.75">
      <c r="A111" s="22"/>
      <c r="B111" s="23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2.75">
      <c r="A112" s="22"/>
      <c r="B112" s="23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ht="12.75">
      <c r="A113" s="22"/>
      <c r="B113" s="23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</sheetData>
  <sheetProtection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1.00390625" style="0" customWidth="1"/>
    <col min="2" max="2" width="10.8515625" style="0" customWidth="1"/>
    <col min="3" max="3" width="15.8515625" style="0" customWidth="1"/>
    <col min="4" max="4" width="3.8515625" style="0" customWidth="1"/>
    <col min="5" max="5" width="37.140625" style="0" customWidth="1"/>
    <col min="6" max="6" width="14.8515625" style="0" customWidth="1"/>
    <col min="7" max="7" width="10.7109375" style="0" customWidth="1"/>
    <col min="8" max="32" width="9.140625" style="22" customWidth="1"/>
  </cols>
  <sheetData>
    <row r="1" spans="1:7" ht="12.75">
      <c r="A1" s="6" t="s">
        <v>25</v>
      </c>
      <c r="B1" s="7"/>
      <c r="C1" s="7"/>
      <c r="D1" s="83"/>
      <c r="E1" s="82"/>
      <c r="F1" s="22"/>
      <c r="G1" s="22"/>
    </row>
    <row r="2" spans="1:42" ht="13.5" thickBot="1">
      <c r="A2" s="29"/>
      <c r="B2" s="25"/>
      <c r="C2" s="25"/>
      <c r="D2" s="25"/>
      <c r="E2" s="29"/>
      <c r="F2" s="22"/>
      <c r="G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7" ht="12.75">
      <c r="A3" s="71"/>
      <c r="B3" s="42"/>
      <c r="C3" s="23"/>
      <c r="D3" s="23"/>
      <c r="E3" s="61" t="s">
        <v>19</v>
      </c>
      <c r="F3" s="62"/>
      <c r="G3" s="22"/>
    </row>
    <row r="4" spans="1:7" ht="12.75">
      <c r="A4" s="63" t="s">
        <v>12</v>
      </c>
      <c r="B4" s="72" t="s">
        <v>14</v>
      </c>
      <c r="C4" s="23"/>
      <c r="D4" s="23"/>
      <c r="E4" s="63" t="s">
        <v>13</v>
      </c>
      <c r="F4" s="64" t="s">
        <v>14</v>
      </c>
      <c r="G4" s="22"/>
    </row>
    <row r="5" spans="1:7" ht="12.75">
      <c r="A5" s="73" t="s">
        <v>5</v>
      </c>
      <c r="B5" s="74"/>
      <c r="C5" s="23"/>
      <c r="D5" s="23"/>
      <c r="E5" s="65" t="s">
        <v>21</v>
      </c>
      <c r="F5" s="66" t="e">
        <f>VLOOKUP(F9,F16:G24,2,FALSE)</f>
        <v>#DIV/0!</v>
      </c>
      <c r="G5" s="22"/>
    </row>
    <row r="6" spans="1:7" ht="12.75">
      <c r="A6" s="75" t="s">
        <v>52</v>
      </c>
      <c r="B6" s="74"/>
      <c r="C6" s="23"/>
      <c r="D6" s="23"/>
      <c r="E6" s="67" t="s">
        <v>55</v>
      </c>
      <c r="F6" s="66" t="e">
        <f>F5/B5</f>
        <v>#DIV/0!</v>
      </c>
      <c r="G6" s="22"/>
    </row>
    <row r="7" spans="1:7" ht="12.75">
      <c r="A7" s="75" t="s">
        <v>7</v>
      </c>
      <c r="B7" s="96"/>
      <c r="C7" s="23"/>
      <c r="D7" s="23"/>
      <c r="E7" s="67" t="s">
        <v>56</v>
      </c>
      <c r="F7" s="66" t="e">
        <f>1/F6</f>
        <v>#DIV/0!</v>
      </c>
      <c r="G7" s="22"/>
    </row>
    <row r="8" spans="1:7" ht="12.75">
      <c r="A8" s="75" t="s">
        <v>53</v>
      </c>
      <c r="B8" s="76">
        <f>B6*B7</f>
        <v>0</v>
      </c>
      <c r="C8" s="23"/>
      <c r="D8" s="23"/>
      <c r="E8" s="67" t="s">
        <v>16</v>
      </c>
      <c r="F8" s="68">
        <f>IF(AND($B$10="",$B$11=""),"",$B$10*$B$5-INT(($B$10*$B$5)/F5)*F5+$B$11)</f>
      </c>
      <c r="G8" s="22"/>
    </row>
    <row r="9" spans="1:7" ht="13.5" thickBot="1">
      <c r="A9" s="75" t="s">
        <v>9</v>
      </c>
      <c r="B9" s="74"/>
      <c r="C9" s="23"/>
      <c r="D9" s="23"/>
      <c r="E9" s="69" t="s">
        <v>24</v>
      </c>
      <c r="F9" s="70" t="e">
        <f>MIN(F16:F24)</f>
        <v>#DIV/0!</v>
      </c>
      <c r="G9" s="22"/>
    </row>
    <row r="10" spans="1:7" ht="12.75">
      <c r="A10" s="75" t="s">
        <v>10</v>
      </c>
      <c r="B10" s="77"/>
      <c r="C10" s="23"/>
      <c r="D10" s="23"/>
      <c r="E10" s="22" t="s">
        <v>18</v>
      </c>
      <c r="F10" s="22"/>
      <c r="G10" s="22"/>
    </row>
    <row r="11" spans="1:7" ht="13.5" thickBot="1">
      <c r="A11" s="78" t="s">
        <v>11</v>
      </c>
      <c r="B11" s="79"/>
      <c r="C11" s="23"/>
      <c r="D11" s="23"/>
      <c r="E11" s="22"/>
      <c r="F11" s="22"/>
      <c r="G11" s="22"/>
    </row>
    <row r="12" spans="1:7" ht="12.75">
      <c r="A12" s="27"/>
      <c r="B12" s="28"/>
      <c r="C12" s="26"/>
      <c r="D12" s="26"/>
      <c r="E12" s="22"/>
      <c r="F12" s="22"/>
      <c r="G12" s="22"/>
    </row>
    <row r="13" spans="1:34" ht="13.5" thickBot="1">
      <c r="A13" s="22"/>
      <c r="B13" s="23"/>
      <c r="C13" s="23"/>
      <c r="D13" s="23"/>
      <c r="E13" s="22"/>
      <c r="F13" s="22"/>
      <c r="G13" s="22"/>
      <c r="AG13" s="22"/>
      <c r="AH13" s="22"/>
    </row>
    <row r="14" spans="1:34" ht="13.5" thickBot="1">
      <c r="A14" s="40" t="s">
        <v>26</v>
      </c>
      <c r="B14" s="41"/>
      <c r="C14" s="42"/>
      <c r="D14" s="36"/>
      <c r="E14" s="22"/>
      <c r="F14" s="22"/>
      <c r="G14" s="22"/>
      <c r="AG14" s="22"/>
      <c r="AH14" s="22"/>
    </row>
    <row r="15" spans="1:7" ht="26.25" thickBot="1">
      <c r="A15" s="45" t="s">
        <v>27</v>
      </c>
      <c r="B15" s="46" t="s">
        <v>54</v>
      </c>
      <c r="C15" s="47" t="s">
        <v>28</v>
      </c>
      <c r="D15" s="37"/>
      <c r="E15" s="53" t="s">
        <v>59</v>
      </c>
      <c r="F15" s="54" t="s">
        <v>58</v>
      </c>
      <c r="G15" s="55" t="s">
        <v>29</v>
      </c>
    </row>
    <row r="16" spans="1:7" ht="12.75">
      <c r="A16" s="50">
        <v>0</v>
      </c>
      <c r="B16" s="80">
        <v>1</v>
      </c>
      <c r="C16" s="81">
        <f>B6</f>
        <v>0</v>
      </c>
      <c r="D16" s="38"/>
      <c r="E16" s="56" t="e">
        <f>IF(C16="","",ROUND((SQRT(2*$B$5*$B$9/($B$7*C16))),0))</f>
        <v>#DIV/0!</v>
      </c>
      <c r="F16" s="21" t="e">
        <f>IF(G16="","",IF(E16="","",$B$5*C16+(G16/2)*$B$7*C16+($B$5/G16)*$B$9+$B$7*$B$11*C16))</f>
        <v>#DIV/0!</v>
      </c>
      <c r="G16" s="57" t="e">
        <f aca="true" t="shared" si="0" ref="G16:G24">IF(B17&gt;0,IF(E16&gt;B17,"",IF(E16="","",IF($E16&lt;=$B16,$B16,$E16))),IF(E16="","",IF($E16&lt;=$B16,$B16,$E16)))</f>
        <v>#DIV/0!</v>
      </c>
    </row>
    <row r="17" spans="1:7" ht="12.75">
      <c r="A17" s="51">
        <f aca="true" t="shared" si="1" ref="A17:A24">A16+1</f>
        <v>1</v>
      </c>
      <c r="B17" s="48"/>
      <c r="C17" s="43"/>
      <c r="D17" s="39"/>
      <c r="E17" s="56">
        <f aca="true" t="shared" si="2" ref="E17:E24">IF(C17="","",ROUND((SQRT(2*$B$5*$B$9/($B$7*C17))),0))</f>
      </c>
      <c r="F17" s="21">
        <f aca="true" t="shared" si="3" ref="F17:F23">IF(G17="","",IF(E17="","",$B$5*C17+(G17/2)*$B$7*C17+($B$5/G17)*$B$9+$B$7*$B$11*C17))</f>
      </c>
      <c r="G17" s="57">
        <f t="shared" si="0"/>
      </c>
    </row>
    <row r="18" spans="1:7" ht="12.75">
      <c r="A18" s="51">
        <f t="shared" si="1"/>
        <v>2</v>
      </c>
      <c r="B18" s="48"/>
      <c r="C18" s="43"/>
      <c r="D18" s="39"/>
      <c r="E18" s="56">
        <f t="shared" si="2"/>
      </c>
      <c r="F18" s="21">
        <f t="shared" si="3"/>
      </c>
      <c r="G18" s="57">
        <f t="shared" si="0"/>
      </c>
    </row>
    <row r="19" spans="1:7" ht="12.75">
      <c r="A19" s="51">
        <f t="shared" si="1"/>
        <v>3</v>
      </c>
      <c r="B19" s="48"/>
      <c r="C19" s="43"/>
      <c r="D19" s="39"/>
      <c r="E19" s="56">
        <f t="shared" si="2"/>
      </c>
      <c r="F19" s="21">
        <f t="shared" si="3"/>
      </c>
      <c r="G19" s="57">
        <f t="shared" si="0"/>
      </c>
    </row>
    <row r="20" spans="1:7" ht="12.75">
      <c r="A20" s="51">
        <f t="shared" si="1"/>
        <v>4</v>
      </c>
      <c r="B20" s="48"/>
      <c r="C20" s="43"/>
      <c r="D20" s="39"/>
      <c r="E20" s="56">
        <f t="shared" si="2"/>
      </c>
      <c r="F20" s="21">
        <f t="shared" si="3"/>
      </c>
      <c r="G20" s="57">
        <f t="shared" si="0"/>
      </c>
    </row>
    <row r="21" spans="1:7" ht="12.75">
      <c r="A21" s="51">
        <f t="shared" si="1"/>
        <v>5</v>
      </c>
      <c r="B21" s="48"/>
      <c r="C21" s="43"/>
      <c r="D21" s="39"/>
      <c r="E21" s="56">
        <f t="shared" si="2"/>
      </c>
      <c r="F21" s="21">
        <f t="shared" si="3"/>
      </c>
      <c r="G21" s="57">
        <f t="shared" si="0"/>
      </c>
    </row>
    <row r="22" spans="1:7" ht="12.75">
      <c r="A22" s="51">
        <f t="shared" si="1"/>
        <v>6</v>
      </c>
      <c r="B22" s="48"/>
      <c r="C22" s="43"/>
      <c r="D22" s="39"/>
      <c r="E22" s="56">
        <f t="shared" si="2"/>
      </c>
      <c r="F22" s="21">
        <f t="shared" si="3"/>
      </c>
      <c r="G22" s="57">
        <f>IF(B23&gt;0,IF(E22&gt;B23,"",IF(E22="","",IF($E22&lt;=$B22,$B22,$E22))),IF(E22="","",IF($E22&lt;=$B22,$B22,$E22)))</f>
      </c>
    </row>
    <row r="23" spans="1:7" ht="12.75">
      <c r="A23" s="51">
        <f t="shared" si="1"/>
        <v>7</v>
      </c>
      <c r="B23" s="48"/>
      <c r="C23" s="43"/>
      <c r="D23" s="39"/>
      <c r="E23" s="56">
        <f t="shared" si="2"/>
      </c>
      <c r="F23" s="21">
        <f t="shared" si="3"/>
      </c>
      <c r="G23" s="57">
        <f t="shared" si="0"/>
      </c>
    </row>
    <row r="24" spans="1:7" ht="13.5" thickBot="1">
      <c r="A24" s="52">
        <f t="shared" si="1"/>
        <v>8</v>
      </c>
      <c r="B24" s="49"/>
      <c r="C24" s="44"/>
      <c r="D24" s="39"/>
      <c r="E24" s="58">
        <f t="shared" si="2"/>
      </c>
      <c r="F24" s="59">
        <f>IF(G24="","",IF(E24="","",$B$5*C24+(G24/2)*$B$7*C24+($B$5/G24)*$B$9+$B$7*$B$11*C24))</f>
      </c>
      <c r="G24" s="60">
        <f t="shared" si="0"/>
      </c>
    </row>
    <row r="25" spans="1:7" ht="12.75">
      <c r="A25" s="22"/>
      <c r="B25" s="22"/>
      <c r="C25" s="22"/>
      <c r="D25" s="22"/>
      <c r="E25" s="22"/>
      <c r="F25" s="22"/>
      <c r="G25" s="22"/>
    </row>
    <row r="26" spans="1:7" ht="12.75">
      <c r="A26" s="22"/>
      <c r="B26" s="22"/>
      <c r="C26" s="22"/>
      <c r="D26" s="22"/>
      <c r="E26" s="22"/>
      <c r="F26" s="22"/>
      <c r="G26" s="22"/>
    </row>
    <row r="27" spans="1:7" ht="12.75">
      <c r="A27" s="22"/>
      <c r="B27" s="22"/>
      <c r="C27" s="22"/>
      <c r="D27" s="22"/>
      <c r="E27" s="22"/>
      <c r="F27" s="22"/>
      <c r="G27" s="22"/>
    </row>
    <row r="28" spans="1:7" ht="12.75">
      <c r="A28" s="22"/>
      <c r="B28" s="22"/>
      <c r="C28" s="22"/>
      <c r="D28" s="22"/>
      <c r="E28" s="22"/>
      <c r="F28" s="22"/>
      <c r="G28" s="22"/>
    </row>
    <row r="29" spans="1:7" ht="12.75">
      <c r="A29" s="22"/>
      <c r="B29" s="22"/>
      <c r="C29" s="22"/>
      <c r="D29" s="22"/>
      <c r="E29" s="22"/>
      <c r="F29" s="22"/>
      <c r="G29" s="22"/>
    </row>
    <row r="30" spans="1:7" ht="12.75">
      <c r="A30" s="22"/>
      <c r="B30" s="22"/>
      <c r="C30" s="22"/>
      <c r="D30" s="22"/>
      <c r="E30" s="22"/>
      <c r="F30" s="22"/>
      <c r="G30" s="22"/>
    </row>
    <row r="31" spans="1:7" ht="12.75">
      <c r="A31" s="22"/>
      <c r="B31" s="22"/>
      <c r="C31" s="22"/>
      <c r="D31" s="22"/>
      <c r="E31" s="22"/>
      <c r="F31" s="22"/>
      <c r="G31" s="22"/>
    </row>
    <row r="32" spans="1:7" ht="12.75">
      <c r="A32" s="22"/>
      <c r="B32" s="22"/>
      <c r="C32" s="22"/>
      <c r="D32" s="22"/>
      <c r="E32" s="22"/>
      <c r="F32" s="22"/>
      <c r="G32" s="22"/>
    </row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28.00390625" style="0" customWidth="1"/>
    <col min="2" max="2" width="11.28125" style="0" customWidth="1"/>
    <col min="3" max="3" width="2.8515625" style="0" customWidth="1"/>
    <col min="4" max="4" width="28.8515625" style="0" customWidth="1"/>
    <col min="5" max="5" width="12.57421875" style="0" customWidth="1"/>
    <col min="6" max="6" width="2.00390625" style="0" customWidth="1"/>
    <col min="7" max="7" width="9.8515625" style="0" customWidth="1"/>
    <col min="8" max="8" width="12.421875" style="0" customWidth="1"/>
    <col min="9" max="40" width="9.140625" style="22" customWidth="1"/>
  </cols>
  <sheetData>
    <row r="1" spans="1:8" ht="12.75">
      <c r="A1" s="6" t="s">
        <v>30</v>
      </c>
      <c r="B1" s="8"/>
      <c r="C1" s="9"/>
      <c r="D1" s="9"/>
      <c r="E1" s="22"/>
      <c r="F1" s="22"/>
      <c r="G1" s="22"/>
      <c r="H1" s="22"/>
    </row>
    <row r="2" spans="1:8" ht="13.5" thickBot="1">
      <c r="A2" s="29"/>
      <c r="B2" s="23"/>
      <c r="C2" s="22"/>
      <c r="D2" s="22"/>
      <c r="E2" s="22"/>
      <c r="F2" s="22"/>
      <c r="G2" s="22"/>
      <c r="H2" s="22"/>
    </row>
    <row r="3" spans="1:8" ht="12.75">
      <c r="A3" s="91"/>
      <c r="B3" s="42"/>
      <c r="D3" s="61" t="s">
        <v>19</v>
      </c>
      <c r="E3" s="92"/>
      <c r="F3" s="4"/>
      <c r="G3" s="61" t="s">
        <v>20</v>
      </c>
      <c r="H3" s="92"/>
    </row>
    <row r="4" spans="1:8" ht="12.75">
      <c r="A4" s="63" t="s">
        <v>12</v>
      </c>
      <c r="B4" s="72" t="s">
        <v>14</v>
      </c>
      <c r="D4" s="63" t="s">
        <v>13</v>
      </c>
      <c r="E4" s="64" t="s">
        <v>14</v>
      </c>
      <c r="F4" s="4"/>
      <c r="G4" s="63" t="s">
        <v>13</v>
      </c>
      <c r="H4" s="64" t="s">
        <v>14</v>
      </c>
    </row>
    <row r="5" spans="1:8" ht="12.75">
      <c r="A5" s="73" t="s">
        <v>5</v>
      </c>
      <c r="B5" s="74"/>
      <c r="D5" s="65" t="s">
        <v>21</v>
      </c>
      <c r="E5" s="89" t="e">
        <f>SQRT(2*$B$5*$B$9/((1-$B$5/$B$10)*$B$8))</f>
        <v>#DIV/0!</v>
      </c>
      <c r="G5" s="93" t="s">
        <v>0</v>
      </c>
      <c r="H5" s="74"/>
    </row>
    <row r="6" spans="1:8" ht="12.75">
      <c r="A6" s="75" t="s">
        <v>6</v>
      </c>
      <c r="B6" s="74"/>
      <c r="D6" s="67" t="s">
        <v>15</v>
      </c>
      <c r="E6" s="88" t="e">
        <f>E5/B5</f>
        <v>#DIV/0!</v>
      </c>
      <c r="G6" s="17" t="s">
        <v>3</v>
      </c>
      <c r="H6" s="88" t="e">
        <f>H5/B5</f>
        <v>#DIV/0!</v>
      </c>
    </row>
    <row r="7" spans="1:8" ht="12.75">
      <c r="A7" s="75" t="s">
        <v>7</v>
      </c>
      <c r="B7" s="96"/>
      <c r="D7" s="67" t="s">
        <v>41</v>
      </c>
      <c r="E7" s="88" t="e">
        <f>1/E6</f>
        <v>#DIV/0!</v>
      </c>
      <c r="G7" s="17" t="s">
        <v>40</v>
      </c>
      <c r="H7" s="88" t="e">
        <f>1/H6</f>
        <v>#DIV/0!</v>
      </c>
    </row>
    <row r="8" spans="1:8" ht="12.75">
      <c r="A8" s="75" t="s">
        <v>8</v>
      </c>
      <c r="B8" s="76">
        <f>B6*B7</f>
        <v>0</v>
      </c>
      <c r="D8" s="67" t="s">
        <v>16</v>
      </c>
      <c r="E8" s="88">
        <f>IF(AND($B$11="",$B$12=""),"",$B$11*$B$5-INT(($B$11*$B$5)/E5)*E5+$B$12)</f>
      </c>
      <c r="G8" s="17" t="s">
        <v>4</v>
      </c>
      <c r="H8" s="88">
        <f>IF(AND($B$11="",$B$12=""),"",$B$11*$B$5-INT(($B$11*$B$5)/H5)*H5+$B$12)</f>
      </c>
    </row>
    <row r="9" spans="1:8" ht="12.75">
      <c r="A9" s="75" t="s">
        <v>39</v>
      </c>
      <c r="B9" s="74"/>
      <c r="D9" s="67" t="s">
        <v>23</v>
      </c>
      <c r="E9" s="89" t="e">
        <f>(E5/2)*(1-$B$5/$B$10)*$B$8+($B$5/E5)*$B$9</f>
        <v>#DIV/0!</v>
      </c>
      <c r="G9" s="17" t="s">
        <v>1</v>
      </c>
      <c r="H9" s="89" t="e">
        <f>(H5/2)*(1-$B$5/$B$10)*$B$8+($B$5/H5)*$B$9</f>
        <v>#DIV/0!</v>
      </c>
    </row>
    <row r="10" spans="1:8" ht="13.5" thickBot="1">
      <c r="A10" s="75" t="s">
        <v>31</v>
      </c>
      <c r="B10" s="74"/>
      <c r="D10" s="69" t="s">
        <v>24</v>
      </c>
      <c r="E10" s="90" t="e">
        <f>$B$5*$B$6+E9+$B$8*$B$12</f>
        <v>#DIV/0!</v>
      </c>
      <c r="G10" s="19" t="s">
        <v>2</v>
      </c>
      <c r="H10" s="90" t="e">
        <f>$B$5*$B$6+H9+$B$8*$B$12</f>
        <v>#DIV/0!</v>
      </c>
    </row>
    <row r="11" spans="1:8" ht="12.75">
      <c r="A11" s="75" t="s">
        <v>10</v>
      </c>
      <c r="B11" s="77"/>
      <c r="D11" s="22"/>
      <c r="E11" s="23"/>
      <c r="F11" s="22"/>
      <c r="G11" s="22"/>
      <c r="H11" s="23"/>
    </row>
    <row r="12" spans="1:8" ht="13.5" thickBot="1">
      <c r="A12" s="78" t="s">
        <v>11</v>
      </c>
      <c r="B12" s="79"/>
      <c r="D12" s="22"/>
      <c r="E12" s="22"/>
      <c r="F12" s="22"/>
      <c r="G12" s="22"/>
      <c r="H12" s="22"/>
    </row>
    <row r="13" spans="1:8" ht="12.75">
      <c r="A13" s="22"/>
      <c r="B13" s="23" t="s">
        <v>57</v>
      </c>
      <c r="C13" s="22"/>
      <c r="D13" s="22"/>
      <c r="E13" s="22"/>
      <c r="F13" s="22"/>
      <c r="G13" s="22"/>
      <c r="H13" s="22"/>
    </row>
    <row r="14" spans="1:8" ht="12.75">
      <c r="A14" s="22"/>
      <c r="B14" s="23"/>
      <c r="C14" s="22"/>
      <c r="D14" s="22"/>
      <c r="E14" s="22"/>
      <c r="F14" s="22"/>
      <c r="G14" s="22"/>
      <c r="H14" s="22"/>
    </row>
    <row r="15" spans="1:8" ht="12.75">
      <c r="A15" s="22"/>
      <c r="B15" s="23"/>
      <c r="C15" s="22"/>
      <c r="D15" s="22"/>
      <c r="E15" s="22"/>
      <c r="F15" s="22"/>
      <c r="G15" s="22"/>
      <c r="H15" s="22"/>
    </row>
    <row r="16" spans="1:8" ht="12.75">
      <c r="A16" s="22"/>
      <c r="B16" s="22"/>
      <c r="C16" s="22"/>
      <c r="D16" s="22"/>
      <c r="E16" s="22"/>
      <c r="F16" s="22"/>
      <c r="G16" s="22"/>
      <c r="H16" s="22"/>
    </row>
    <row r="17" s="22" customFormat="1" ht="12.75"/>
    <row r="18" s="22" customFormat="1" ht="12.75"/>
    <row r="19" s="22" customFormat="1" ht="12.75"/>
    <row r="20" s="22" customFormat="1" ht="12.75"/>
    <row r="21" s="22" customFormat="1" ht="12.75"/>
    <row r="22" s="22" customFormat="1" ht="12.75"/>
    <row r="23" s="22" customFormat="1" ht="12.75"/>
    <row r="24" s="22" customFormat="1" ht="12.75"/>
    <row r="25" s="22" customFormat="1" ht="12.75"/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8.8515625" style="0" customWidth="1"/>
    <col min="3" max="3" width="3.00390625" style="0" customWidth="1"/>
    <col min="4" max="4" width="28.7109375" style="0" customWidth="1"/>
    <col min="5" max="5" width="14.140625" style="0" customWidth="1"/>
    <col min="6" max="6" width="3.28125" style="0" customWidth="1"/>
    <col min="7" max="7" width="10.8515625" style="0" customWidth="1"/>
    <col min="8" max="8" width="14.140625" style="0" customWidth="1"/>
  </cols>
  <sheetData>
    <row r="1" spans="1:27" ht="12.75">
      <c r="A1" s="6" t="s">
        <v>32</v>
      </c>
      <c r="B1" s="8"/>
      <c r="C1" s="9"/>
      <c r="D1" s="9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="22" customFormat="1" ht="13.5" thickBot="1">
      <c r="B2" s="23"/>
    </row>
    <row r="3" spans="1:8" ht="12.75">
      <c r="A3" s="61"/>
      <c r="B3" s="94"/>
      <c r="C3" s="5"/>
      <c r="D3" s="61" t="s">
        <v>19</v>
      </c>
      <c r="E3" s="92"/>
      <c r="F3" s="5"/>
      <c r="G3" s="61" t="s">
        <v>20</v>
      </c>
      <c r="H3" s="92"/>
    </row>
    <row r="4" spans="1:8" ht="12.75">
      <c r="A4" s="63" t="s">
        <v>12</v>
      </c>
      <c r="B4" s="72" t="s">
        <v>14</v>
      </c>
      <c r="C4" s="5"/>
      <c r="D4" s="63" t="s">
        <v>13</v>
      </c>
      <c r="E4" s="64" t="s">
        <v>14</v>
      </c>
      <c r="F4" s="5"/>
      <c r="G4" s="63" t="s">
        <v>13</v>
      </c>
      <c r="H4" s="64" t="s">
        <v>14</v>
      </c>
    </row>
    <row r="5" spans="1:8" ht="12.75">
      <c r="A5" s="73" t="s">
        <v>5</v>
      </c>
      <c r="B5" s="74"/>
      <c r="D5" s="65" t="s">
        <v>21</v>
      </c>
      <c r="E5" s="89" t="e">
        <f>IF(B11&gt;SQRT(2*B9*B8/B5),SQRT(2*B5*B9/B8),SQRT((2*B5*B9/B8)*((B8+B10)/B10)-((B5*B11)^2/(B8*B10))))</f>
        <v>#DIV/0!</v>
      </c>
      <c r="G5" s="93" t="s">
        <v>0</v>
      </c>
      <c r="H5" s="74"/>
    </row>
    <row r="6" spans="1:8" ht="12.75">
      <c r="A6" s="75" t="s">
        <v>6</v>
      </c>
      <c r="B6" s="74"/>
      <c r="D6" s="67" t="s">
        <v>33</v>
      </c>
      <c r="E6" s="89" t="e">
        <f>IF($B$11&gt;(2*B9*B8/B5)^0.5,0,(E5*B8-B5*B11)/(B8+B10))</f>
        <v>#DIV/0!</v>
      </c>
      <c r="G6" s="17" t="s">
        <v>34</v>
      </c>
      <c r="H6" s="74"/>
    </row>
    <row r="7" spans="1:8" ht="12.75">
      <c r="A7" s="75" t="s">
        <v>7</v>
      </c>
      <c r="B7" s="96"/>
      <c r="D7" s="67" t="s">
        <v>15</v>
      </c>
      <c r="E7" s="88" t="e">
        <f>E5/B5</f>
        <v>#DIV/0!</v>
      </c>
      <c r="G7" s="17" t="s">
        <v>3</v>
      </c>
      <c r="H7" s="88" t="e">
        <f>H5/B5</f>
        <v>#DIV/0!</v>
      </c>
    </row>
    <row r="8" spans="1:8" ht="12.75">
      <c r="A8" s="75" t="s">
        <v>8</v>
      </c>
      <c r="B8" s="76">
        <f>B6*B7</f>
        <v>0</v>
      </c>
      <c r="D8" s="67" t="s">
        <v>41</v>
      </c>
      <c r="E8" s="88" t="e">
        <f>1/E7</f>
        <v>#DIV/0!</v>
      </c>
      <c r="G8" s="17" t="s">
        <v>40</v>
      </c>
      <c r="H8" s="88" t="e">
        <f>1/H7</f>
        <v>#DIV/0!</v>
      </c>
    </row>
    <row r="9" spans="1:8" ht="12.75">
      <c r="A9" s="75" t="s">
        <v>9</v>
      </c>
      <c r="B9" s="74"/>
      <c r="D9" s="67" t="s">
        <v>16</v>
      </c>
      <c r="E9" s="88">
        <f>IF($B$12="","",$B$12*$B$5-E6-INT(B12*B5/E5)*E5)</f>
      </c>
      <c r="G9" s="17" t="s">
        <v>4</v>
      </c>
      <c r="H9" s="88">
        <f>IF($B$12="","",$B$12*$B$5-H6-INT(E12*E5/H5)*H5)</f>
      </c>
    </row>
    <row r="10" spans="1:8" ht="12.75">
      <c r="A10" s="75" t="s">
        <v>35</v>
      </c>
      <c r="B10" s="74"/>
      <c r="D10" s="67" t="s">
        <v>23</v>
      </c>
      <c r="E10" s="89" t="e">
        <f>(((E5-E6)^2)/(2*E5))*$B$8+($B$5/E5)*($B$9+E6*$B$11)+(E6^2)*$B$10/(2*E5)</f>
        <v>#DIV/0!</v>
      </c>
      <c r="G10" s="17" t="s">
        <v>1</v>
      </c>
      <c r="H10" s="89" t="e">
        <f>(((H5-H6)^2)/(2*H5))*$B$8+($B$5/H5)*($B$9+H6*$B$11)+(H6^2)*$B$10/(2*H5)</f>
        <v>#DIV/0!</v>
      </c>
    </row>
    <row r="11" spans="1:8" ht="12.75">
      <c r="A11" s="75" t="s">
        <v>42</v>
      </c>
      <c r="B11" s="74"/>
      <c r="D11" s="67" t="s">
        <v>24</v>
      </c>
      <c r="E11" s="89" t="e">
        <f>$B$5*$B$6+E10</f>
        <v>#DIV/0!</v>
      </c>
      <c r="G11" s="17" t="s">
        <v>2</v>
      </c>
      <c r="H11" s="89" t="e">
        <f>$B$5*$B$6+H10</f>
        <v>#DIV/0!</v>
      </c>
    </row>
    <row r="12" spans="1:8" ht="13.5" thickBot="1">
      <c r="A12" s="78" t="s">
        <v>10</v>
      </c>
      <c r="B12" s="95"/>
      <c r="D12" s="19" t="s">
        <v>37</v>
      </c>
      <c r="E12" s="90" t="e">
        <f>E6/E5*100</f>
        <v>#DIV/0!</v>
      </c>
      <c r="G12" s="19" t="s">
        <v>38</v>
      </c>
      <c r="H12" s="90" t="e">
        <f>H6/H5*100</f>
        <v>#DIV/0!</v>
      </c>
    </row>
    <row r="13" spans="1:12" ht="12.75">
      <c r="A13" s="22"/>
      <c r="B13" s="22"/>
      <c r="C13" s="22"/>
      <c r="D13" s="22"/>
      <c r="E13" s="23"/>
      <c r="F13" s="22"/>
      <c r="G13" s="22"/>
      <c r="H13" s="23"/>
      <c r="I13" s="22"/>
      <c r="J13" s="22"/>
      <c r="K13" s="22"/>
      <c r="L13" s="22"/>
    </row>
    <row r="14" spans="1:12" ht="12.75">
      <c r="A14" s="22"/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2.75">
      <c r="A15" s="22"/>
      <c r="B15" s="23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2.75">
      <c r="A16" s="22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1:12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2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97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2.421875" style="0" customWidth="1"/>
    <col min="3" max="3" width="3.140625" style="0" customWidth="1"/>
    <col min="4" max="4" width="37.140625" style="0" customWidth="1"/>
    <col min="6" max="6" width="3.421875" style="0" customWidth="1"/>
    <col min="7" max="7" width="23.8515625" style="0" customWidth="1"/>
    <col min="8" max="8" width="9.8515625" style="0" bestFit="1" customWidth="1"/>
  </cols>
  <sheetData>
    <row r="1" spans="1:36" ht="12.75">
      <c r="A1" s="6" t="s">
        <v>48</v>
      </c>
      <c r="B1" s="6"/>
      <c r="C1" s="6"/>
      <c r="D1" s="6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4" s="22" customFormat="1" ht="12.75">
      <c r="A2" s="29"/>
      <c r="B2" s="29"/>
      <c r="C2" s="29"/>
      <c r="D2" s="29"/>
    </row>
    <row r="3" s="22" customFormat="1" ht="13.5" thickBot="1"/>
    <row r="4" spans="1:8" ht="13.5" thickBot="1">
      <c r="A4" s="10" t="s">
        <v>12</v>
      </c>
      <c r="B4" s="11" t="s">
        <v>14</v>
      </c>
      <c r="C4" s="4"/>
      <c r="D4" s="10" t="s">
        <v>13</v>
      </c>
      <c r="E4" s="11" t="s">
        <v>14</v>
      </c>
      <c r="G4" s="30" t="s">
        <v>49</v>
      </c>
      <c r="H4" s="31" t="s">
        <v>14</v>
      </c>
    </row>
    <row r="5" spans="1:8" ht="12.75">
      <c r="A5" s="12" t="s">
        <v>43</v>
      </c>
      <c r="B5" s="13"/>
      <c r="D5" s="17" t="s">
        <v>46</v>
      </c>
      <c r="E5" s="18" t="e">
        <f>NORMINV(B7,B5,B6)</f>
        <v>#NUM!</v>
      </c>
      <c r="G5" s="32" t="s">
        <v>50</v>
      </c>
      <c r="H5" s="33" t="e">
        <f>E5-B5</f>
        <v>#NUM!</v>
      </c>
    </row>
    <row r="6" spans="1:8" ht="13.5" thickBot="1">
      <c r="A6" s="12" t="s">
        <v>44</v>
      </c>
      <c r="B6" s="14"/>
      <c r="D6" s="19" t="s">
        <v>47</v>
      </c>
      <c r="E6" s="20">
        <f>IF(B8="","",NORMDIST(B8,B5,B6,TRUE))</f>
      </c>
      <c r="G6" s="34" t="s">
        <v>51</v>
      </c>
      <c r="H6" s="35">
        <f>IF(B8="","",B8-B5)</f>
      </c>
    </row>
    <row r="7" spans="1:18" ht="12.75">
      <c r="A7" s="12" t="s">
        <v>36</v>
      </c>
      <c r="B7" s="1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3.5" thickBot="1">
      <c r="A8" s="15" t="s">
        <v>45</v>
      </c>
      <c r="B8" s="16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2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2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4:18" ht="12.75"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4:18" ht="12.75"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4:18" ht="12.75"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4:18" ht="12.75"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4:18" ht="12.75"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4:18" ht="12.75"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4:18" ht="12.75"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4:18" ht="12.75"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4:18" ht="12.75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4:18" ht="12.75"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4:18" ht="12.75"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4:18" ht="12.75"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4:18" ht="12.75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4:18" ht="12.75"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4:18" ht="12.75"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4:18" ht="12.75"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</row>
    <row r="75" spans="4:18" ht="12.75"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</row>
    <row r="76" spans="4:18" ht="12.75"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  <row r="77" spans="4:18" ht="12.75"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</row>
    <row r="78" spans="4:18" ht="12.75"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</row>
    <row r="79" spans="4:18" ht="12.75"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4:18" ht="12.75"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4:18" ht="12.75"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</row>
    <row r="82" spans="4:18" ht="12.75"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</row>
    <row r="83" spans="4:18" ht="12.75"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</row>
    <row r="84" spans="4:18" ht="12.75"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</row>
    <row r="85" spans="4:18" ht="12.75"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4:18" ht="12.75"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4:18" ht="12.75"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4:18" ht="12.75"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4:18" ht="12.75"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4:18" ht="12.75"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4:18" ht="12.75"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4:18" ht="12.75"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4:18" ht="12.75"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4:18" ht="12.75"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4:18" ht="12.75"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4:18" ht="12.75"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4:18" ht="12.75"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bpasternack</dc:creator>
  <cp:keywords/>
  <dc:description/>
  <cp:lastModifiedBy>jlawrence</cp:lastModifiedBy>
  <cp:lastPrinted>2000-09-18T16:52:07Z</cp:lastPrinted>
  <dcterms:created xsi:type="dcterms:W3CDTF">2000-02-07T21:58:46Z</dcterms:created>
  <dcterms:modified xsi:type="dcterms:W3CDTF">2009-05-14T18:52:49Z</dcterms:modified>
  <cp:category/>
  <cp:version/>
  <cp:contentType/>
  <cp:contentStatus/>
</cp:coreProperties>
</file>