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3"/>
  </bookViews>
  <sheets>
    <sheet name="How to Use" sheetId="1" r:id="rId1"/>
    <sheet name="open to buy" sheetId="2" r:id="rId2"/>
    <sheet name="Expenses" sheetId="3" r:id="rId3"/>
    <sheet name="Financial forecast" sheetId="4" r:id="rId4"/>
  </sheets>
  <definedNames/>
  <calcPr fullCalcOnLoad="1"/>
</workbook>
</file>

<file path=xl/sharedStrings.xml><?xml version="1.0" encoding="utf-8"?>
<sst xmlns="http://schemas.openxmlformats.org/spreadsheetml/2006/main" count="196" uniqueCount="128">
  <si>
    <t>Plus EOM Inventory</t>
  </si>
  <si>
    <t>Minus BOM Inventory</t>
  </si>
  <si>
    <t>Minus On Order (retail)</t>
  </si>
  <si>
    <t>First GP %</t>
  </si>
  <si>
    <t>Purchases at Cost</t>
  </si>
  <si>
    <t>May</t>
  </si>
  <si>
    <t>Total</t>
  </si>
  <si>
    <t>Category:</t>
  </si>
  <si>
    <t>Plus Markdowns$</t>
  </si>
  <si>
    <t>%</t>
  </si>
  <si>
    <t>&amp;</t>
  </si>
  <si>
    <t>Total cost$</t>
  </si>
  <si>
    <t xml:space="preserve">% of available OTB </t>
  </si>
  <si>
    <t>Purchases at Retail</t>
  </si>
  <si>
    <t>Gross Profit calculation</t>
  </si>
  <si>
    <t>Total Sales</t>
  </si>
  <si>
    <t>Minus purchases</t>
  </si>
  <si>
    <t>Gross profit $</t>
  </si>
  <si>
    <t>GP%</t>
  </si>
  <si>
    <t>Balance available $</t>
  </si>
  <si>
    <t>Actual</t>
  </si>
  <si>
    <t>Less Expenses</t>
  </si>
  <si>
    <t>Balance available</t>
  </si>
  <si>
    <t>Opening balance</t>
  </si>
  <si>
    <t>Closing balance</t>
  </si>
  <si>
    <t>Less expenses</t>
  </si>
  <si>
    <t>Less creditor payments</t>
  </si>
  <si>
    <t>creditor payments</t>
  </si>
  <si>
    <t>Sales</t>
  </si>
  <si>
    <t>Gross Profit $</t>
  </si>
  <si>
    <t>Less Expenses $</t>
  </si>
  <si>
    <t>$</t>
  </si>
  <si>
    <t>Creditors Plan</t>
  </si>
  <si>
    <t>Stockturns calculation</t>
  </si>
  <si>
    <t>Average Stock:</t>
  </si>
  <si>
    <t>Annual Sales:</t>
  </si>
  <si>
    <t xml:space="preserve">Stockturns: </t>
  </si>
  <si>
    <t>Retail Inventory Method-OPEN to BUY PLAN</t>
  </si>
  <si>
    <t>Planned Sales-net</t>
  </si>
  <si>
    <t>Planned Sales-GST inc.</t>
  </si>
  <si>
    <t>Actual sales-net</t>
  </si>
  <si>
    <t>Actual markdowns</t>
  </si>
  <si>
    <t>Actual EOM inventory</t>
  </si>
  <si>
    <t>Actual sales-GST inc.</t>
  </si>
  <si>
    <t>Purchases at Cost+GST</t>
  </si>
  <si>
    <t xml:space="preserve">Plus sales-GST inc. </t>
  </si>
  <si>
    <t>Expenses</t>
  </si>
  <si>
    <t>Administration</t>
  </si>
  <si>
    <t>Advertising</t>
  </si>
  <si>
    <t>Bank charges</t>
  </si>
  <si>
    <t>Electricity</t>
  </si>
  <si>
    <t>Freight</t>
  </si>
  <si>
    <t>Insurance</t>
  </si>
  <si>
    <t>Interest paid</t>
  </si>
  <si>
    <t>M.V expenses</t>
  </si>
  <si>
    <t>Petty cash&amp;postage</t>
  </si>
  <si>
    <t>Printing,stationary etc,</t>
  </si>
  <si>
    <t>Rates&amp;taxes</t>
  </si>
  <si>
    <t>Salaries&amp;wages</t>
  </si>
  <si>
    <t>Telephone</t>
  </si>
  <si>
    <t>Workcover</t>
  </si>
  <si>
    <t>Total Expenses</t>
  </si>
  <si>
    <t>Gross rental costs</t>
  </si>
  <si>
    <t>% of sales</t>
  </si>
  <si>
    <t>Super</t>
  </si>
  <si>
    <t>Less ATO payments</t>
  </si>
  <si>
    <t>Final Balance Avail.</t>
  </si>
  <si>
    <t>Less ATO Payments</t>
  </si>
  <si>
    <t>Bank/Cashflow Plan</t>
  </si>
  <si>
    <t>Monthly Proforma P &amp; L Statement</t>
  </si>
  <si>
    <t>Gross Profit Est. %</t>
  </si>
  <si>
    <t xml:space="preserve">               %</t>
  </si>
  <si>
    <t>last year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</si>
  <si>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</si>
  <si>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</si>
  <si>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</si>
  <si>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</si>
  <si>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</si>
  <si>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</si>
  <si>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</si>
  <si>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</si>
  <si>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</si>
  <si>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</si>
  <si>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</si>
  <si>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EOM Inventory= End of Month Inventory</t>
  </si>
  <si>
    <t>BOM Inventory= Beginning of Month Inventory</t>
  </si>
  <si>
    <t>How to Use?</t>
  </si>
  <si>
    <t>Open to buy Worksheet</t>
  </si>
  <si>
    <t>a. Enter sales by month (row 5), use last year as basis for planning</t>
  </si>
  <si>
    <t>b. Enter markdown % ( row 9) somewhere between 5-8% per month seems to be the rule of thumb</t>
  </si>
  <si>
    <t>c. Enter planned monthly End of Month stock holdings at retail value ( normally 2-3 months forward sales)</t>
  </si>
  <si>
    <t xml:space="preserve">d. Enter actual opening stock (D14) </t>
  </si>
  <si>
    <t>e. Enter planned first gross profit margin by month ( row 20)</t>
  </si>
  <si>
    <t xml:space="preserve">f. Enter planned % of sales contribution by category ( rows 26,28,30,32,34,36,38) , this will calculate the value of monthly open to buy by category </t>
  </si>
  <si>
    <t xml:space="preserve">g. At end of mont adjust with actual sales and replan future months </t>
  </si>
  <si>
    <t>Expenses Worksheet</t>
  </si>
  <si>
    <t>a. Monthly sales are brought over from OTB worksheet and 10% added for GST (no entries required)</t>
  </si>
  <si>
    <t xml:space="preserve">b. Enter expenses by month and categories listed( use recent financial statements or estimates from monthly expenses) </t>
  </si>
  <si>
    <t>c. Enter expected ATO payments by month( use last year as guide)</t>
  </si>
  <si>
    <t xml:space="preserve">d.At the end of each month,  list actual total sales &amp; expenses &amp; ATO payments  </t>
  </si>
  <si>
    <t>e. Replan following months if actuals appear to be varying against plan</t>
  </si>
  <si>
    <t>Financial Forecast Worksheet</t>
  </si>
  <si>
    <t>a. The following values are linked to other worksheets and therefore automatically come across to this worksheet</t>
  </si>
  <si>
    <t xml:space="preserve"> Sales -net &amp; GST inclusive</t>
  </si>
  <si>
    <t>ATO payments</t>
  </si>
  <si>
    <t xml:space="preserve">b. Enter total opening trade creditors ( row 14) </t>
  </si>
  <si>
    <t>c. The purchases (including GST) will be brought over from OTB worksheet (row 15)</t>
  </si>
  <si>
    <t xml:space="preserve">d. Enter planned monthly payments to trade creditors- based on the opening monthly values and capacity to pay-refer cashflow plan to assist( rows 19&amp;23)  </t>
  </si>
  <si>
    <t xml:space="preserve">e.Enter opening cash at bank ( row 19) </t>
  </si>
  <si>
    <t>f. Monthly Proforma P&amp;L</t>
  </si>
  <si>
    <t xml:space="preserve">Most of the values automatically come across except for the Gross Profit %, which is a manual entry </t>
  </si>
  <si>
    <t xml:space="preserve"> </t>
  </si>
  <si>
    <t xml:space="preserve">Expenses plan </t>
  </si>
  <si>
    <t xml:space="preserve"> Financial Forecasts</t>
  </si>
  <si>
    <t>Food</t>
  </si>
  <si>
    <t>Cosmetics</t>
  </si>
  <si>
    <t>Collector</t>
  </si>
  <si>
    <t>Homewares</t>
  </si>
  <si>
    <t>Card</t>
  </si>
  <si>
    <t>Wrap</t>
  </si>
  <si>
    <t>(COGS)</t>
  </si>
  <si>
    <t>Planned Sales+GST inc.</t>
  </si>
  <si>
    <t>Books</t>
  </si>
  <si>
    <t>OTB Purchases By Category</t>
  </si>
  <si>
    <t>CATEGORYSALES</t>
  </si>
  <si>
    <t>Drawings</t>
  </si>
  <si>
    <t>Est.Operating Profit</t>
  </si>
  <si>
    <t>Home &amp; Gifts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</si>
</sst>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%"/>
    <numFmt numFmtId="168" formatCode="0.000000"/>
    <numFmt numFmtId="169" formatCode="0.00000"/>
    <numFmt numFmtId="170" formatCode="0.000%"/>
    <numFmt numFmtId="171" formatCode="0.00000000"/>
    <numFmt numFmtId="172" formatCode="0.000000000"/>
    <numFmt numFmtId="173" formatCode="0.0000000"/>
    <numFmt numFmtId="174" formatCode="_-&quot;$&quot;* #,##0.000_-;\-&quot;$&quot;* #,##0.000_-;_-&quot;$&quot;* &quot;-&quot;??_-;_-@_-"/>
    <numFmt numFmtId="175" formatCode="_-&quot;$&quot;* #,##0.0_-;\-&quot;$&quot;* #,##0.0_-;_-&quot;$&quot;* &quot;-&quot;??_-;_-@_-"/>
    <numFmt numFmtId="176" formatCode="_-&quot;$&quot;* #,##0_-;\-&quot;$&quot;* #,##0_-;_-&quot;$&quot;* &quot;-&quot;??_-;_-@_-"/>
    <numFmt numFmtId="177" formatCode="0.0000%"/>
    <numFmt numFmtId="178" formatCode="0.00000%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MS Sans Serif"/>
      <family val="2"/>
    </font>
    <font>
      <strike/>
      <sz val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0" fontId="4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0" fontId="7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8" fillId="0" borderId="0" xfId="0" applyFont="1" applyAlignment="1">
      <alignment/>
    </xf>
    <xf numFmtId="165" fontId="6" fillId="0" borderId="0" xfId="0" applyNumberFormat="1" applyFont="1" applyAlignment="1">
      <alignment/>
    </xf>
    <xf numFmtId="167" fontId="7" fillId="2" borderId="1" xfId="0" applyNumberFormat="1" applyFont="1" applyFill="1" applyBorder="1" applyAlignment="1">
      <alignment/>
    </xf>
    <xf numFmtId="9" fontId="7" fillId="2" borderId="1" xfId="21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1" fontId="0" fillId="4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9" fontId="0" fillId="6" borderId="0" xfId="21" applyFill="1" applyAlignment="1">
      <alignment/>
    </xf>
    <xf numFmtId="1" fontId="0" fillId="6" borderId="0" xfId="0" applyNumberFormat="1" applyFill="1" applyAlignment="1">
      <alignment/>
    </xf>
    <xf numFmtId="9" fontId="0" fillId="6" borderId="0" xfId="21" applyNumberFormat="1" applyFill="1" applyAlignment="1">
      <alignment/>
    </xf>
    <xf numFmtId="0" fontId="6" fillId="7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5" fillId="8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8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9" borderId="0" xfId="0" applyFont="1" applyFill="1" applyAlignment="1">
      <alignment/>
    </xf>
    <xf numFmtId="0" fontId="6" fillId="5" borderId="0" xfId="0" applyFont="1" applyFill="1" applyAlignment="1">
      <alignment/>
    </xf>
    <xf numFmtId="165" fontId="6" fillId="7" borderId="0" xfId="0" applyNumberFormat="1" applyFont="1" applyFill="1" applyAlignment="1">
      <alignment/>
    </xf>
    <xf numFmtId="1" fontId="6" fillId="8" borderId="0" xfId="0" applyNumberFormat="1" applyFont="1" applyFill="1" applyAlignment="1">
      <alignment/>
    </xf>
    <xf numFmtId="1" fontId="6" fillId="8" borderId="0" xfId="0" applyNumberFormat="1" applyFont="1" applyFill="1" applyAlignment="1">
      <alignment/>
    </xf>
    <xf numFmtId="9" fontId="6" fillId="8" borderId="0" xfId="0" applyNumberFormat="1" applyFont="1" applyFill="1" applyAlignment="1">
      <alignment/>
    </xf>
    <xf numFmtId="0" fontId="5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6" fillId="9" borderId="0" xfId="0" applyFont="1" applyFill="1" applyAlignment="1">
      <alignment/>
    </xf>
    <xf numFmtId="0" fontId="6" fillId="9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10" fontId="7" fillId="8" borderId="0" xfId="0" applyNumberFormat="1" applyFont="1" applyFill="1" applyBorder="1" applyAlignment="1">
      <alignment/>
    </xf>
    <xf numFmtId="1" fontId="0" fillId="5" borderId="0" xfId="0" applyNumberFormat="1" applyFill="1" applyAlignment="1">
      <alignment/>
    </xf>
    <xf numFmtId="0" fontId="0" fillId="3" borderId="0" xfId="0" applyFill="1" applyAlignment="1">
      <alignment/>
    </xf>
    <xf numFmtId="0" fontId="0" fillId="12" borderId="0" xfId="0" applyFill="1" applyAlignment="1">
      <alignment/>
    </xf>
    <xf numFmtId="9" fontId="0" fillId="12" borderId="0" xfId="0" applyNumberFormat="1" applyFill="1" applyAlignment="1">
      <alignment/>
    </xf>
    <xf numFmtId="167" fontId="0" fillId="12" borderId="0" xfId="21" applyNumberFormat="1" applyFill="1" applyAlignment="1">
      <alignment/>
    </xf>
    <xf numFmtId="0" fontId="1" fillId="12" borderId="0" xfId="0" applyFont="1" applyFill="1" applyAlignment="1">
      <alignment/>
    </xf>
    <xf numFmtId="0" fontId="0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10" fontId="0" fillId="6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1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0" borderId="2" xfId="0" applyBorder="1" applyAlignment="1">
      <alignment/>
    </xf>
    <xf numFmtId="0" fontId="6" fillId="14" borderId="3" xfId="0" applyFont="1" applyFill="1" applyBorder="1" applyAlignment="1">
      <alignment/>
    </xf>
    <xf numFmtId="0" fontId="6" fillId="14" borderId="4" xfId="0" applyFont="1" applyFill="1" applyBorder="1" applyAlignment="1">
      <alignment/>
    </xf>
    <xf numFmtId="0" fontId="6" fillId="14" borderId="5" xfId="0" applyFont="1" applyFill="1" applyBorder="1" applyAlignment="1">
      <alignment/>
    </xf>
    <xf numFmtId="0" fontId="6" fillId="14" borderId="0" xfId="0" applyFont="1" applyFill="1" applyBorder="1" applyAlignment="1">
      <alignment/>
    </xf>
    <xf numFmtId="0" fontId="6" fillId="14" borderId="6" xfId="0" applyFont="1" applyFill="1" applyBorder="1" applyAlignment="1">
      <alignment/>
    </xf>
    <xf numFmtId="10" fontId="7" fillId="9" borderId="0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6" fillId="4" borderId="5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1" fontId="0" fillId="4" borderId="6" xfId="0" applyNumberForma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165" fontId="0" fillId="4" borderId="9" xfId="0" applyNumberForma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14" borderId="10" xfId="0" applyFont="1" applyFill="1" applyBorder="1" applyAlignment="1">
      <alignment/>
    </xf>
    <xf numFmtId="0" fontId="5" fillId="14" borderId="5" xfId="0" applyFont="1" applyFill="1" applyBorder="1" applyAlignment="1">
      <alignment/>
    </xf>
    <xf numFmtId="0" fontId="5" fillId="14" borderId="0" xfId="0" applyFont="1" applyFill="1" applyBorder="1" applyAlignment="1">
      <alignment/>
    </xf>
    <xf numFmtId="0" fontId="5" fillId="14" borderId="6" xfId="0" applyFont="1" applyFill="1" applyBorder="1" applyAlignment="1">
      <alignment/>
    </xf>
    <xf numFmtId="1" fontId="5" fillId="14" borderId="6" xfId="0" applyNumberFormat="1" applyFont="1" applyFill="1" applyBorder="1" applyAlignment="1">
      <alignment/>
    </xf>
    <xf numFmtId="0" fontId="5" fillId="14" borderId="7" xfId="0" applyFont="1" applyFill="1" applyBorder="1" applyAlignment="1">
      <alignment/>
    </xf>
    <xf numFmtId="0" fontId="5" fillId="14" borderId="8" xfId="0" applyFont="1" applyFill="1" applyBorder="1" applyAlignment="1">
      <alignment/>
    </xf>
    <xf numFmtId="10" fontId="5" fillId="14" borderId="9" xfId="21" applyNumberFormat="1" applyFont="1" applyFill="1" applyBorder="1" applyAlignment="1">
      <alignment/>
    </xf>
    <xf numFmtId="9" fontId="6" fillId="9" borderId="0" xfId="21" applyNumberFormat="1" applyFont="1" applyFill="1" applyAlignment="1">
      <alignment/>
    </xf>
    <xf numFmtId="10" fontId="0" fillId="0" borderId="0" xfId="21" applyNumberFormat="1" applyFont="1" applyAlignment="1">
      <alignment/>
    </xf>
    <xf numFmtId="0" fontId="5" fillId="9" borderId="10" xfId="0" applyFont="1" applyFill="1" applyBorder="1" applyAlignment="1">
      <alignment/>
    </xf>
    <xf numFmtId="0" fontId="5" fillId="9" borderId="3" xfId="0" applyFont="1" applyFill="1" applyBorder="1" applyAlignment="1">
      <alignment/>
    </xf>
    <xf numFmtId="1" fontId="6" fillId="9" borderId="3" xfId="0" applyNumberFormat="1" applyFont="1" applyFill="1" applyBorder="1" applyAlignment="1">
      <alignment/>
    </xf>
    <xf numFmtId="1" fontId="6" fillId="9" borderId="4" xfId="0" applyNumberFormat="1" applyFont="1" applyFill="1" applyBorder="1" applyAlignment="1">
      <alignment/>
    </xf>
    <xf numFmtId="0" fontId="12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5" fillId="12" borderId="5" xfId="0" applyFont="1" applyFill="1" applyBorder="1" applyAlignment="1">
      <alignment/>
    </xf>
    <xf numFmtId="0" fontId="6" fillId="12" borderId="0" xfId="0" applyFont="1" applyFill="1" applyBorder="1" applyAlignment="1">
      <alignment/>
    </xf>
    <xf numFmtId="0" fontId="6" fillId="12" borderId="6" xfId="0" applyFont="1" applyFill="1" applyBorder="1" applyAlignment="1">
      <alignment/>
    </xf>
    <xf numFmtId="0" fontId="6" fillId="12" borderId="5" xfId="0" applyFont="1" applyFill="1" applyBorder="1" applyAlignment="1">
      <alignment/>
    </xf>
    <xf numFmtId="1" fontId="6" fillId="12" borderId="0" xfId="0" applyNumberFormat="1" applyFont="1" applyFill="1" applyBorder="1" applyAlignment="1">
      <alignment/>
    </xf>
    <xf numFmtId="1" fontId="6" fillId="12" borderId="6" xfId="0" applyNumberFormat="1" applyFont="1" applyFill="1" applyBorder="1" applyAlignment="1">
      <alignment/>
    </xf>
    <xf numFmtId="9" fontId="6" fillId="12" borderId="0" xfId="0" applyNumberFormat="1" applyFont="1" applyFill="1" applyBorder="1" applyAlignment="1">
      <alignment/>
    </xf>
    <xf numFmtId="9" fontId="6" fillId="12" borderId="6" xfId="0" applyNumberFormat="1" applyFont="1" applyFill="1" applyBorder="1" applyAlignment="1">
      <alignment/>
    </xf>
    <xf numFmtId="0" fontId="8" fillId="12" borderId="5" xfId="0" applyFont="1" applyFill="1" applyBorder="1" applyAlignment="1">
      <alignment/>
    </xf>
    <xf numFmtId="0" fontId="5" fillId="12" borderId="7" xfId="0" applyFont="1" applyFill="1" applyBorder="1" applyAlignment="1">
      <alignment/>
    </xf>
    <xf numFmtId="0" fontId="6" fillId="12" borderId="8" xfId="0" applyFont="1" applyFill="1" applyBorder="1" applyAlignment="1">
      <alignment/>
    </xf>
    <xf numFmtId="1" fontId="6" fillId="12" borderId="8" xfId="0" applyNumberFormat="1" applyFont="1" applyFill="1" applyBorder="1" applyAlignment="1">
      <alignment/>
    </xf>
    <xf numFmtId="1" fontId="6" fillId="12" borderId="9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0" fillId="11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F9" sqref="F9"/>
    </sheetView>
  </sheetViews>
  <sheetFormatPr defaultColWidth="9.140625" defaultRowHeight="12.75"/>
  <cols>
    <col min="1" max="1" width="2.00390625" style="0" customWidth="1"/>
    <col min="2" max="2" width="4.57421875" style="0" customWidth="1"/>
    <col min="14" max="14" width="35.8515625" style="0" customWidth="1"/>
    <col min="15" max="15" width="19.7109375" style="0" customWidth="1"/>
    <col min="16" max="16" width="15.00390625" style="0" customWidth="1"/>
  </cols>
  <sheetData>
    <row r="1" spans="3:5" ht="15.75">
      <c r="C1" s="69" t="s">
        <v>127</v>
      </c>
      <c r="D1" s="70"/>
      <c r="E1" s="70"/>
    </row>
    <row r="2" spans="1:3" ht="12.75">
      <c r="A2" s="1" t="s">
        <v>111</v>
      </c>
      <c r="B2" s="1"/>
      <c r="C2" s="1"/>
    </row>
    <row r="3" spans="2:3" ht="15.75">
      <c r="B3" s="7" t="s">
        <v>86</v>
      </c>
      <c r="C3" s="9"/>
    </row>
    <row r="5" spans="2:3" ht="12.75">
      <c r="B5">
        <v>1</v>
      </c>
      <c r="C5" t="s">
        <v>87</v>
      </c>
    </row>
    <row r="6" ht="12.75">
      <c r="D6" t="s">
        <v>88</v>
      </c>
    </row>
    <row r="7" ht="12.75">
      <c r="D7" t="s">
        <v>89</v>
      </c>
    </row>
    <row r="8" ht="12.75">
      <c r="D8" t="s">
        <v>90</v>
      </c>
    </row>
    <row r="9" ht="12.75">
      <c r="D9" t="s">
        <v>91</v>
      </c>
    </row>
    <row r="10" ht="12.75">
      <c r="D10" t="s">
        <v>92</v>
      </c>
    </row>
    <row r="11" ht="12.75">
      <c r="D11" t="s">
        <v>93</v>
      </c>
    </row>
    <row r="12" ht="12.75">
      <c r="D12" t="s">
        <v>94</v>
      </c>
    </row>
    <row r="15" spans="2:3" ht="12.75">
      <c r="B15">
        <v>2</v>
      </c>
      <c r="C15" t="s">
        <v>95</v>
      </c>
    </row>
    <row r="16" ht="12.75">
      <c r="D16" t="s">
        <v>96</v>
      </c>
    </row>
    <row r="17" ht="12.75">
      <c r="D17" t="s">
        <v>97</v>
      </c>
    </row>
    <row r="18" ht="12.75">
      <c r="D18" t="s">
        <v>98</v>
      </c>
    </row>
    <row r="19" ht="12.75">
      <c r="D19" t="s">
        <v>99</v>
      </c>
    </row>
    <row r="20" ht="12.75">
      <c r="D20" t="s">
        <v>100</v>
      </c>
    </row>
    <row r="22" spans="2:3" ht="12.75">
      <c r="B22">
        <v>3</v>
      </c>
      <c r="C22" t="s">
        <v>101</v>
      </c>
    </row>
    <row r="23" ht="12.75">
      <c r="D23" t="s">
        <v>102</v>
      </c>
    </row>
    <row r="24" ht="12.75">
      <c r="E24" t="s">
        <v>103</v>
      </c>
    </row>
    <row r="25" ht="12.75">
      <c r="E25" t="s">
        <v>46</v>
      </c>
    </row>
    <row r="26" ht="12.75">
      <c r="E26" t="s">
        <v>104</v>
      </c>
    </row>
    <row r="27" ht="12.75">
      <c r="D27" t="s">
        <v>105</v>
      </c>
    </row>
    <row r="28" ht="12.75">
      <c r="D28" t="s">
        <v>106</v>
      </c>
    </row>
    <row r="29" ht="12.75">
      <c r="D29" t="s">
        <v>107</v>
      </c>
    </row>
    <row r="30" ht="12.75">
      <c r="D30" t="s">
        <v>108</v>
      </c>
    </row>
    <row r="31" ht="12.75">
      <c r="D31" t="s">
        <v>109</v>
      </c>
    </row>
    <row r="32" ht="12.75">
      <c r="D32" t="s">
        <v>110</v>
      </c>
    </row>
  </sheetData>
  <printOptions gridLines="1"/>
  <pageMargins left="0.16" right="0.51" top="0.54" bottom="1" header="0.74" footer="0.57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5"/>
  <sheetViews>
    <sheetView zoomScale="75" zoomScaleNormal="75" workbookViewId="0" topLeftCell="A1">
      <selection activeCell="U8" sqref="U8"/>
    </sheetView>
  </sheetViews>
  <sheetFormatPr defaultColWidth="9.140625" defaultRowHeight="12.75"/>
  <cols>
    <col min="1" max="1" width="0.2890625" style="0" customWidth="1"/>
    <col min="3" max="3" width="13.7109375" style="0" customWidth="1"/>
    <col min="4" max="4" width="9.421875" style="0" customWidth="1"/>
    <col min="5" max="5" width="9.00390625" style="0" customWidth="1"/>
    <col min="6" max="6" width="9.421875" style="0" customWidth="1"/>
    <col min="7" max="7" width="9.57421875" style="0" customWidth="1"/>
    <col min="8" max="8" width="8.8515625" style="0" customWidth="1"/>
    <col min="9" max="9" width="9.8515625" style="0" customWidth="1"/>
    <col min="10" max="11" width="8.8515625" style="0" customWidth="1"/>
    <col min="12" max="12" width="9.7109375" style="0" customWidth="1"/>
    <col min="13" max="13" width="9.57421875" style="0" customWidth="1"/>
    <col min="14" max="15" width="9.7109375" style="0" customWidth="1"/>
    <col min="16" max="16" width="11.28125" style="0" customWidth="1"/>
    <col min="18" max="18" width="10.28125" style="0" customWidth="1"/>
    <col min="19" max="19" width="10.7109375" style="0" customWidth="1"/>
    <col min="23" max="23" width="12.28125" style="0" customWidth="1"/>
    <col min="24" max="24" width="4.421875" style="0" customWidth="1"/>
    <col min="25" max="27" width="9.140625" style="0" hidden="1" customWidth="1"/>
    <col min="28" max="28" width="5.57421875" style="0" customWidth="1"/>
    <col min="29" max="32" width="9.140625" style="0" hidden="1" customWidth="1"/>
  </cols>
  <sheetData>
    <row r="1" spans="1:17" ht="15.75">
      <c r="A1" s="7" t="s">
        <v>37</v>
      </c>
      <c r="B1" s="7"/>
      <c r="C1" s="7"/>
      <c r="D1" s="7"/>
      <c r="E1" s="7"/>
      <c r="F1" s="7"/>
      <c r="G1" s="7"/>
      <c r="H1" s="69" t="s">
        <v>127</v>
      </c>
      <c r="I1" s="69"/>
      <c r="J1" s="7"/>
      <c r="K1" s="8"/>
      <c r="L1" s="8"/>
      <c r="M1" s="8"/>
      <c r="N1" s="8"/>
      <c r="O1" s="8"/>
      <c r="P1" s="8"/>
      <c r="Q1" s="8"/>
    </row>
    <row r="2" spans="1:20" ht="16.5" thickBot="1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T2" s="8"/>
    </row>
    <row r="3" spans="1:20" ht="15.75">
      <c r="A3" s="7"/>
      <c r="B3" s="7"/>
      <c r="C3" s="7"/>
      <c r="D3" s="39" t="s">
        <v>74</v>
      </c>
      <c r="E3" s="39" t="s">
        <v>75</v>
      </c>
      <c r="F3" s="39" t="s">
        <v>76</v>
      </c>
      <c r="G3" s="39" t="s">
        <v>77</v>
      </c>
      <c r="H3" s="39" t="s">
        <v>78</v>
      </c>
      <c r="I3" s="39" t="s">
        <v>79</v>
      </c>
      <c r="J3" s="39" t="s">
        <v>80</v>
      </c>
      <c r="K3" s="39" t="s">
        <v>81</v>
      </c>
      <c r="L3" s="39" t="s">
        <v>82</v>
      </c>
      <c r="M3" s="39" t="s">
        <v>83</v>
      </c>
      <c r="N3" s="39" t="s">
        <v>5</v>
      </c>
      <c r="O3" s="39" t="s">
        <v>73</v>
      </c>
      <c r="P3" s="39" t="s">
        <v>6</v>
      </c>
      <c r="Q3" s="88" t="s">
        <v>14</v>
      </c>
      <c r="R3" s="72"/>
      <c r="S3" s="73"/>
      <c r="T3" s="8"/>
    </row>
    <row r="4" spans="1:20" ht="15.75">
      <c r="A4" s="7"/>
      <c r="B4" s="7" t="s">
        <v>72</v>
      </c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74"/>
      <c r="R4" s="75"/>
      <c r="S4" s="76"/>
      <c r="T4" s="8"/>
    </row>
    <row r="5" spans="1:20" ht="15.75">
      <c r="A5" s="7"/>
      <c r="B5" s="46" t="s">
        <v>38</v>
      </c>
      <c r="C5" s="46"/>
      <c r="D5" s="47">
        <v>66500</v>
      </c>
      <c r="E5" s="47">
        <v>48000</v>
      </c>
      <c r="F5" s="47">
        <v>50000</v>
      </c>
      <c r="G5" s="47">
        <v>55300</v>
      </c>
      <c r="H5" s="47">
        <v>69850</v>
      </c>
      <c r="I5" s="47">
        <v>88855</v>
      </c>
      <c r="J5" s="47">
        <v>42500</v>
      </c>
      <c r="K5" s="47">
        <v>44650</v>
      </c>
      <c r="L5" s="47">
        <v>51040</v>
      </c>
      <c r="M5" s="47">
        <v>57000</v>
      </c>
      <c r="N5" s="47">
        <v>55000</v>
      </c>
      <c r="O5" s="47">
        <v>59800</v>
      </c>
      <c r="P5" s="48">
        <f>SUM(D5:O5)</f>
        <v>688495</v>
      </c>
      <c r="Q5" s="89" t="s">
        <v>15</v>
      </c>
      <c r="R5" s="90"/>
      <c r="S5" s="91">
        <f>P5</f>
        <v>688495</v>
      </c>
      <c r="T5" s="8"/>
    </row>
    <row r="6" spans="1:20" ht="15.75">
      <c r="A6" s="7"/>
      <c r="B6" s="47" t="s">
        <v>40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>
        <f>SUM(D6:O6)</f>
        <v>0</v>
      </c>
      <c r="Q6" s="89" t="s">
        <v>16</v>
      </c>
      <c r="R6" s="90"/>
      <c r="S6" s="92">
        <f>P22</f>
        <v>386921</v>
      </c>
      <c r="T6" s="8"/>
    </row>
    <row r="7" spans="1:20" ht="15.75">
      <c r="A7" s="7"/>
      <c r="B7" s="7"/>
      <c r="C7" s="7"/>
      <c r="D7" s="9"/>
      <c r="E7" s="9"/>
      <c r="F7" s="9"/>
      <c r="G7" s="9"/>
      <c r="H7" s="9"/>
      <c r="I7" s="9"/>
      <c r="J7" s="7"/>
      <c r="K7" s="8"/>
      <c r="L7" s="8"/>
      <c r="M7" s="8"/>
      <c r="N7" s="8"/>
      <c r="O7" s="8"/>
      <c r="P7" s="8" t="s">
        <v>111</v>
      </c>
      <c r="Q7" s="89" t="s">
        <v>120</v>
      </c>
      <c r="R7" s="90"/>
      <c r="S7" s="91"/>
      <c r="T7" s="8"/>
    </row>
    <row r="8" spans="1:20" ht="15.75">
      <c r="A8" s="7"/>
      <c r="B8" s="36" t="s">
        <v>8</v>
      </c>
      <c r="C8" s="36"/>
      <c r="D8" s="37">
        <f>D9*D5</f>
        <v>3325</v>
      </c>
      <c r="E8" s="37">
        <f aca="true" t="shared" si="0" ref="E8:P8">E9*E5</f>
        <v>2400</v>
      </c>
      <c r="F8" s="37">
        <f t="shared" si="0"/>
        <v>2500</v>
      </c>
      <c r="G8" s="37">
        <f t="shared" si="0"/>
        <v>2765</v>
      </c>
      <c r="H8" s="37">
        <f t="shared" si="0"/>
        <v>3492.5</v>
      </c>
      <c r="I8" s="37">
        <f t="shared" si="0"/>
        <v>4442.75</v>
      </c>
      <c r="J8" s="37">
        <f t="shared" si="0"/>
        <v>2125</v>
      </c>
      <c r="K8" s="37">
        <f t="shared" si="0"/>
        <v>2232.5</v>
      </c>
      <c r="L8" s="37">
        <f t="shared" si="0"/>
        <v>2552</v>
      </c>
      <c r="M8" s="37">
        <f t="shared" si="0"/>
        <v>2850</v>
      </c>
      <c r="N8" s="37">
        <f t="shared" si="0"/>
        <v>2750</v>
      </c>
      <c r="O8" s="37">
        <f t="shared" si="0"/>
        <v>2990</v>
      </c>
      <c r="P8" s="44">
        <f t="shared" si="0"/>
        <v>34424.75</v>
      </c>
      <c r="Q8" s="74"/>
      <c r="R8" s="75"/>
      <c r="S8" s="76"/>
      <c r="T8" s="8"/>
    </row>
    <row r="9" spans="1:41" ht="15.75">
      <c r="A9" s="7"/>
      <c r="B9" s="36"/>
      <c r="C9" s="36" t="s">
        <v>71</v>
      </c>
      <c r="D9" s="45">
        <v>0.05</v>
      </c>
      <c r="E9" s="45">
        <v>0.05</v>
      </c>
      <c r="F9" s="45">
        <v>0.05</v>
      </c>
      <c r="G9" s="45">
        <v>0.05</v>
      </c>
      <c r="H9" s="45">
        <v>0.05</v>
      </c>
      <c r="I9" s="45">
        <v>0.05</v>
      </c>
      <c r="J9" s="45">
        <v>0.05</v>
      </c>
      <c r="K9" s="45">
        <v>0.05</v>
      </c>
      <c r="L9" s="45">
        <v>0.05</v>
      </c>
      <c r="M9" s="45">
        <v>0.05</v>
      </c>
      <c r="N9" s="45">
        <v>0.05</v>
      </c>
      <c r="O9" s="45">
        <v>0.05</v>
      </c>
      <c r="P9" s="54">
        <f>SUM(D9:O9)/12</f>
        <v>0.049999999999999996</v>
      </c>
      <c r="Q9" s="89" t="s">
        <v>17</v>
      </c>
      <c r="R9" s="90"/>
      <c r="S9" s="92">
        <f>P5-P22</f>
        <v>301574</v>
      </c>
      <c r="T9" s="8"/>
      <c r="X9" s="2"/>
      <c r="Y9" s="2"/>
      <c r="Z9" s="2"/>
      <c r="AA9" s="2"/>
      <c r="AB9" s="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6.5" thickBot="1">
      <c r="A10" s="7"/>
      <c r="B10" s="37" t="s">
        <v>41</v>
      </c>
      <c r="C10" s="3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54"/>
      <c r="Q10" s="93" t="s">
        <v>18</v>
      </c>
      <c r="R10" s="94"/>
      <c r="S10" s="95">
        <f>SUM(S9/S5)</f>
        <v>0.4380191577280881</v>
      </c>
      <c r="T10" s="8"/>
      <c r="X10" s="2"/>
      <c r="Y10" s="2"/>
      <c r="Z10" s="2"/>
      <c r="AA10" s="2"/>
      <c r="AB10" s="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19" ht="15.75">
      <c r="A11" s="7"/>
      <c r="B11" s="36" t="s">
        <v>0</v>
      </c>
      <c r="C11" s="36"/>
      <c r="D11" s="37">
        <v>175000</v>
      </c>
      <c r="E11" s="37">
        <v>180000</v>
      </c>
      <c r="F11" s="37">
        <v>180000</v>
      </c>
      <c r="G11" s="37">
        <v>200000</v>
      </c>
      <c r="H11" s="37">
        <v>240000</v>
      </c>
      <c r="I11" s="37">
        <v>190000</v>
      </c>
      <c r="J11" s="37">
        <v>180000</v>
      </c>
      <c r="K11" s="37">
        <v>170000</v>
      </c>
      <c r="L11" s="37">
        <v>190000</v>
      </c>
      <c r="M11" s="37">
        <v>190000</v>
      </c>
      <c r="N11" s="37">
        <v>180000</v>
      </c>
      <c r="O11" s="37">
        <v>180000</v>
      </c>
      <c r="P11" s="38"/>
      <c r="S11" t="s">
        <v>111</v>
      </c>
    </row>
    <row r="12" spans="1:17" ht="15.75">
      <c r="A12" s="7"/>
      <c r="B12" s="37" t="s">
        <v>42</v>
      </c>
      <c r="C12" s="37"/>
      <c r="D12" s="37"/>
      <c r="E12" s="37"/>
      <c r="F12" s="37"/>
      <c r="G12" s="37"/>
      <c r="H12" s="37"/>
      <c r="I12" s="37"/>
      <c r="J12" s="36"/>
      <c r="K12" s="38"/>
      <c r="L12" s="38"/>
      <c r="M12" s="38"/>
      <c r="N12" s="38"/>
      <c r="O12" s="38"/>
      <c r="P12" s="38"/>
      <c r="Q12" s="7" t="s">
        <v>84</v>
      </c>
    </row>
    <row r="13" spans="1:16" ht="15.75">
      <c r="A13" s="7"/>
      <c r="B13" s="7"/>
      <c r="C13" s="7"/>
      <c r="D13" s="9"/>
      <c r="E13" s="9"/>
      <c r="F13" s="9"/>
      <c r="G13" s="9"/>
      <c r="H13" s="9"/>
      <c r="I13" s="9"/>
      <c r="J13" s="7"/>
      <c r="K13" s="8"/>
      <c r="L13" s="8"/>
      <c r="M13" s="8"/>
      <c r="N13" s="8"/>
      <c r="O13" s="8"/>
      <c r="P13" s="8"/>
    </row>
    <row r="14" spans="1:17" ht="15.75">
      <c r="A14" s="7"/>
      <c r="B14" s="34" t="s">
        <v>1</v>
      </c>
      <c r="C14" s="34"/>
      <c r="D14" s="35">
        <v>170000</v>
      </c>
      <c r="E14" s="35">
        <f>D11</f>
        <v>175000</v>
      </c>
      <c r="F14" s="35">
        <f>E11</f>
        <v>180000</v>
      </c>
      <c r="G14" s="35">
        <f aca="true" t="shared" si="1" ref="G14:O14">F11</f>
        <v>180000</v>
      </c>
      <c r="H14" s="35">
        <f t="shared" si="1"/>
        <v>200000</v>
      </c>
      <c r="I14" s="35">
        <f t="shared" si="1"/>
        <v>240000</v>
      </c>
      <c r="J14" s="35">
        <f t="shared" si="1"/>
        <v>190000</v>
      </c>
      <c r="K14" s="35">
        <f t="shared" si="1"/>
        <v>180000</v>
      </c>
      <c r="L14" s="35">
        <f t="shared" si="1"/>
        <v>170000</v>
      </c>
      <c r="M14" s="35">
        <f t="shared" si="1"/>
        <v>190000</v>
      </c>
      <c r="N14" s="35">
        <f t="shared" si="1"/>
        <v>190000</v>
      </c>
      <c r="O14" s="35">
        <f t="shared" si="1"/>
        <v>180000</v>
      </c>
      <c r="P14" s="41"/>
      <c r="Q14" s="7" t="s">
        <v>85</v>
      </c>
    </row>
    <row r="15" spans="1:16" ht="16.5" thickBot="1">
      <c r="A15" s="7"/>
      <c r="B15" s="34"/>
      <c r="C15" s="34"/>
      <c r="D15" s="35"/>
      <c r="E15" s="35"/>
      <c r="F15" s="35"/>
      <c r="G15" s="35"/>
      <c r="H15" s="35"/>
      <c r="I15" s="35"/>
      <c r="J15" s="34"/>
      <c r="K15" s="41"/>
      <c r="L15" s="41"/>
      <c r="M15" s="41"/>
      <c r="N15" s="41"/>
      <c r="O15" s="41"/>
      <c r="P15" s="41"/>
    </row>
    <row r="16" spans="1:19" ht="15.75">
      <c r="A16" s="7"/>
      <c r="B16" s="34" t="s">
        <v>2</v>
      </c>
      <c r="C16" s="34"/>
      <c r="D16" s="35"/>
      <c r="E16" s="35"/>
      <c r="F16" s="35"/>
      <c r="G16" s="35"/>
      <c r="H16" s="35"/>
      <c r="I16" s="35"/>
      <c r="J16" s="34"/>
      <c r="K16" s="41"/>
      <c r="L16" s="41"/>
      <c r="M16" s="41"/>
      <c r="N16" s="41"/>
      <c r="O16" s="41"/>
      <c r="P16" s="41">
        <f>SUM(D16:O16)</f>
        <v>0</v>
      </c>
      <c r="Q16" s="87" t="s">
        <v>33</v>
      </c>
      <c r="R16" s="78"/>
      <c r="S16" s="79"/>
    </row>
    <row r="17" spans="1:19" ht="15.75">
      <c r="A17" s="7"/>
      <c r="B17" s="7"/>
      <c r="C17" s="7"/>
      <c r="D17" s="9"/>
      <c r="E17" s="9"/>
      <c r="F17" s="9"/>
      <c r="G17" s="9"/>
      <c r="H17" s="9"/>
      <c r="I17" s="9"/>
      <c r="J17" s="7"/>
      <c r="K17" s="8"/>
      <c r="L17" s="8"/>
      <c r="M17" s="8"/>
      <c r="N17" s="8"/>
      <c r="O17" s="8"/>
      <c r="P17" s="8" t="s">
        <v>111</v>
      </c>
      <c r="Q17" s="80"/>
      <c r="R17" s="81"/>
      <c r="S17" s="82"/>
    </row>
    <row r="18" spans="1:19" ht="15.75">
      <c r="A18" s="7"/>
      <c r="B18" s="40" t="s">
        <v>13</v>
      </c>
      <c r="C18" s="40"/>
      <c r="D18" s="49">
        <f aca="true" t="shared" si="2" ref="D18:O18">(D5+D8+D11)-(D14+D16)</f>
        <v>74825</v>
      </c>
      <c r="E18" s="49">
        <f t="shared" si="2"/>
        <v>55400</v>
      </c>
      <c r="F18" s="49">
        <f t="shared" si="2"/>
        <v>52500</v>
      </c>
      <c r="G18" s="49">
        <f t="shared" si="2"/>
        <v>78065</v>
      </c>
      <c r="H18" s="49">
        <f t="shared" si="2"/>
        <v>113342.5</v>
      </c>
      <c r="I18" s="49">
        <f t="shared" si="2"/>
        <v>43297.75</v>
      </c>
      <c r="J18" s="49">
        <f t="shared" si="2"/>
        <v>34625</v>
      </c>
      <c r="K18" s="49">
        <f t="shared" si="2"/>
        <v>36882.5</v>
      </c>
      <c r="L18" s="49">
        <f t="shared" si="2"/>
        <v>73592</v>
      </c>
      <c r="M18" s="49">
        <f t="shared" si="2"/>
        <v>59850</v>
      </c>
      <c r="N18" s="49">
        <f t="shared" si="2"/>
        <v>47750</v>
      </c>
      <c r="O18" s="49">
        <f t="shared" si="2"/>
        <v>62790</v>
      </c>
      <c r="P18" s="50">
        <f>SUM(D18:O18)</f>
        <v>732919.75</v>
      </c>
      <c r="Q18" s="80" t="s">
        <v>34</v>
      </c>
      <c r="R18" s="81"/>
      <c r="S18" s="83">
        <f>SUM(D11:O11)/12</f>
        <v>187916.66666666666</v>
      </c>
    </row>
    <row r="19" spans="1:19" ht="15.75">
      <c r="A19" s="7"/>
      <c r="B19" s="49"/>
      <c r="C19" s="40"/>
      <c r="D19" s="49"/>
      <c r="E19" s="49"/>
      <c r="F19" s="49"/>
      <c r="G19" s="49"/>
      <c r="H19" s="49"/>
      <c r="I19" s="49"/>
      <c r="J19" s="40"/>
      <c r="K19" s="50"/>
      <c r="L19" s="50"/>
      <c r="M19" s="50"/>
      <c r="N19" s="50"/>
      <c r="O19" s="50"/>
      <c r="P19" s="50" t="s">
        <v>111</v>
      </c>
      <c r="Q19" s="80" t="s">
        <v>35</v>
      </c>
      <c r="R19" s="81"/>
      <c r="S19" s="82">
        <f>P5</f>
        <v>688495</v>
      </c>
    </row>
    <row r="20" spans="1:19" ht="16.5" thickBot="1">
      <c r="A20" s="7"/>
      <c r="B20" s="40" t="s">
        <v>3</v>
      </c>
      <c r="C20" s="40"/>
      <c r="D20" s="96">
        <v>0.5</v>
      </c>
      <c r="E20" s="96">
        <v>0.5</v>
      </c>
      <c r="F20" s="96">
        <v>0.5</v>
      </c>
      <c r="G20" s="96">
        <v>0.5</v>
      </c>
      <c r="H20" s="96">
        <v>0.55</v>
      </c>
      <c r="I20" s="96">
        <v>0.55</v>
      </c>
      <c r="J20" s="96">
        <v>0.5</v>
      </c>
      <c r="K20" s="96">
        <v>0.5</v>
      </c>
      <c r="L20" s="96">
        <v>0.5</v>
      </c>
      <c r="M20" s="96">
        <v>0.5</v>
      </c>
      <c r="N20" s="96">
        <v>0.52</v>
      </c>
      <c r="O20" s="96">
        <v>0.52</v>
      </c>
      <c r="P20" s="77">
        <f>SUM(D20+E20+F20+G20+H20+I20+J20+K20+L20+M20+N20+O20)/12</f>
        <v>0.5116666666666666</v>
      </c>
      <c r="Q20" s="84" t="s">
        <v>36</v>
      </c>
      <c r="R20" s="85"/>
      <c r="S20" s="86">
        <f>S19/S18</f>
        <v>3.6638314855875835</v>
      </c>
    </row>
    <row r="21" spans="1:19" ht="16.5" thickBot="1">
      <c r="A21" s="7"/>
      <c r="B21" s="40"/>
      <c r="C21" s="40"/>
      <c r="D21" s="49"/>
      <c r="E21" s="49"/>
      <c r="F21" s="49"/>
      <c r="G21" s="49"/>
      <c r="H21" s="49"/>
      <c r="I21" s="49"/>
      <c r="J21" s="40"/>
      <c r="K21" s="50"/>
      <c r="L21" s="50"/>
      <c r="M21" s="50"/>
      <c r="N21" s="50"/>
      <c r="O21" s="50"/>
      <c r="P21" s="50" t="s">
        <v>111</v>
      </c>
      <c r="Q21" s="8"/>
      <c r="S21" t="s">
        <v>111</v>
      </c>
    </row>
    <row r="22" spans="1:29" ht="15.75">
      <c r="A22" s="7"/>
      <c r="B22" s="98" t="s">
        <v>4</v>
      </c>
      <c r="C22" s="99"/>
      <c r="D22" s="100">
        <v>38000</v>
      </c>
      <c r="E22" s="100">
        <v>27550</v>
      </c>
      <c r="F22" s="100">
        <v>29400</v>
      </c>
      <c r="G22" s="100">
        <v>31070</v>
      </c>
      <c r="H22" s="100">
        <v>37940</v>
      </c>
      <c r="I22" s="100">
        <v>47101</v>
      </c>
      <c r="J22" s="100">
        <v>22550</v>
      </c>
      <c r="K22" s="100">
        <v>26460</v>
      </c>
      <c r="L22" s="100">
        <v>29400</v>
      </c>
      <c r="M22" s="100">
        <v>32555</v>
      </c>
      <c r="N22" s="100">
        <v>32340</v>
      </c>
      <c r="O22" s="100">
        <v>32555</v>
      </c>
      <c r="P22" s="101">
        <f>SUM(D22:O22)</f>
        <v>386921</v>
      </c>
      <c r="Q22" s="10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4"/>
    </row>
    <row r="23" spans="1:19" ht="15.75">
      <c r="A23" s="8"/>
      <c r="B23" s="102" t="s">
        <v>123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  <c r="Q23" s="8"/>
      <c r="S23" s="65"/>
    </row>
    <row r="24" spans="1:19" ht="16.5" thickBot="1">
      <c r="A24" s="8"/>
      <c r="B24" s="105" t="s">
        <v>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12"/>
      <c r="R24" s="118" t="s">
        <v>124</v>
      </c>
      <c r="S24" s="65"/>
    </row>
    <row r="25" spans="1:18" ht="15">
      <c r="A25" s="8"/>
      <c r="B25" s="108">
        <v>1</v>
      </c>
      <c r="C25" s="106" t="s">
        <v>114</v>
      </c>
      <c r="D25" s="109">
        <f aca="true" t="shared" si="3" ref="D25:O25">D22*D26</f>
        <v>4560</v>
      </c>
      <c r="E25" s="109">
        <f t="shared" si="3"/>
        <v>3306</v>
      </c>
      <c r="F25" s="109">
        <f t="shared" si="3"/>
        <v>3528</v>
      </c>
      <c r="G25" s="109">
        <f t="shared" si="3"/>
        <v>3728.3999999999996</v>
      </c>
      <c r="H25" s="109">
        <f t="shared" si="3"/>
        <v>4552.8</v>
      </c>
      <c r="I25" s="109">
        <f t="shared" si="3"/>
        <v>5652.12</v>
      </c>
      <c r="J25" s="109">
        <f t="shared" si="3"/>
        <v>2706</v>
      </c>
      <c r="K25" s="109">
        <f t="shared" si="3"/>
        <v>3175.2</v>
      </c>
      <c r="L25" s="109">
        <f t="shared" si="3"/>
        <v>3528</v>
      </c>
      <c r="M25" s="109">
        <f t="shared" si="3"/>
        <v>3906.6</v>
      </c>
      <c r="N25" s="109">
        <f t="shared" si="3"/>
        <v>3880.7999999999997</v>
      </c>
      <c r="O25" s="109">
        <f t="shared" si="3"/>
        <v>3906.6</v>
      </c>
      <c r="P25" s="110">
        <f>SUM(D25:O25)</f>
        <v>46430.520000000004</v>
      </c>
      <c r="Q25" s="8"/>
      <c r="R25" s="120"/>
    </row>
    <row r="26" spans="1:18" ht="15">
      <c r="A26" s="8"/>
      <c r="B26" s="108" t="s">
        <v>9</v>
      </c>
      <c r="C26" s="106"/>
      <c r="D26" s="111">
        <v>0.12</v>
      </c>
      <c r="E26" s="111">
        <v>0.12</v>
      </c>
      <c r="F26" s="111">
        <v>0.12</v>
      </c>
      <c r="G26" s="111">
        <v>0.12</v>
      </c>
      <c r="H26" s="111">
        <v>0.12</v>
      </c>
      <c r="I26" s="111">
        <v>0.12</v>
      </c>
      <c r="J26" s="111">
        <v>0.12</v>
      </c>
      <c r="K26" s="111">
        <v>0.12</v>
      </c>
      <c r="L26" s="111">
        <v>0.12</v>
      </c>
      <c r="M26" s="111">
        <v>0.12</v>
      </c>
      <c r="N26" s="111">
        <v>0.12</v>
      </c>
      <c r="O26" s="111">
        <v>0.12</v>
      </c>
      <c r="P26" s="112">
        <v>0.12</v>
      </c>
      <c r="Q26" s="8"/>
      <c r="R26" s="121">
        <f>$R$40*P26</f>
        <v>82619.4</v>
      </c>
    </row>
    <row r="27" spans="1:18" ht="15">
      <c r="A27" s="8"/>
      <c r="B27" s="108">
        <v>2</v>
      </c>
      <c r="C27" s="106" t="s">
        <v>115</v>
      </c>
      <c r="D27" s="109">
        <f>D22*D28</f>
        <v>3040</v>
      </c>
      <c r="E27" s="109">
        <f aca="true" t="shared" si="4" ref="E27:O27">E22*E28</f>
        <v>2204</v>
      </c>
      <c r="F27" s="109">
        <f t="shared" si="4"/>
        <v>2352</v>
      </c>
      <c r="G27" s="109">
        <f t="shared" si="4"/>
        <v>2485.6</v>
      </c>
      <c r="H27" s="109">
        <f t="shared" si="4"/>
        <v>3035.2000000000003</v>
      </c>
      <c r="I27" s="109">
        <f t="shared" si="4"/>
        <v>3768.08</v>
      </c>
      <c r="J27" s="109">
        <f t="shared" si="4"/>
        <v>1804</v>
      </c>
      <c r="K27" s="109">
        <f t="shared" si="4"/>
        <v>2116.8</v>
      </c>
      <c r="L27" s="109">
        <f t="shared" si="4"/>
        <v>2352</v>
      </c>
      <c r="M27" s="109">
        <f t="shared" si="4"/>
        <v>2604.4</v>
      </c>
      <c r="N27" s="109">
        <f t="shared" si="4"/>
        <v>2587.2000000000003</v>
      </c>
      <c r="O27" s="109">
        <f t="shared" si="4"/>
        <v>2604.4</v>
      </c>
      <c r="P27" s="110">
        <f>SUM(D27:O27)</f>
        <v>30953.680000000004</v>
      </c>
      <c r="Q27" s="8"/>
      <c r="R27" s="122" t="s">
        <v>111</v>
      </c>
    </row>
    <row r="28" spans="1:18" ht="15">
      <c r="A28" s="8"/>
      <c r="B28" s="108" t="s">
        <v>9</v>
      </c>
      <c r="C28" s="106"/>
      <c r="D28" s="111">
        <v>0.08</v>
      </c>
      <c r="E28" s="111">
        <v>0.08</v>
      </c>
      <c r="F28" s="111">
        <v>0.08</v>
      </c>
      <c r="G28" s="111">
        <v>0.08</v>
      </c>
      <c r="H28" s="111">
        <v>0.08</v>
      </c>
      <c r="I28" s="111">
        <v>0.08</v>
      </c>
      <c r="J28" s="111">
        <v>0.08</v>
      </c>
      <c r="K28" s="111">
        <v>0.08</v>
      </c>
      <c r="L28" s="111">
        <v>0.08</v>
      </c>
      <c r="M28" s="111">
        <v>0.08</v>
      </c>
      <c r="N28" s="111">
        <v>0.08</v>
      </c>
      <c r="O28" s="111">
        <v>0.08</v>
      </c>
      <c r="P28" s="112">
        <v>0.08</v>
      </c>
      <c r="Q28" s="8"/>
      <c r="R28" s="121">
        <f>$R$40*P28</f>
        <v>55079.6</v>
      </c>
    </row>
    <row r="29" spans="1:18" ht="15">
      <c r="A29" s="8"/>
      <c r="B29" s="108">
        <v>3</v>
      </c>
      <c r="C29" s="106" t="s">
        <v>116</v>
      </c>
      <c r="D29" s="109">
        <f>D22*D30</f>
        <v>1900</v>
      </c>
      <c r="E29" s="109">
        <f aca="true" t="shared" si="5" ref="E29:O29">E22*E30</f>
        <v>1377.5</v>
      </c>
      <c r="F29" s="109">
        <f t="shared" si="5"/>
        <v>1470</v>
      </c>
      <c r="G29" s="109">
        <f t="shared" si="5"/>
        <v>1553.5</v>
      </c>
      <c r="H29" s="109">
        <f t="shared" si="5"/>
        <v>1897</v>
      </c>
      <c r="I29" s="109">
        <f t="shared" si="5"/>
        <v>2355.05</v>
      </c>
      <c r="J29" s="109">
        <f t="shared" si="5"/>
        <v>1127.5</v>
      </c>
      <c r="K29" s="109">
        <f t="shared" si="5"/>
        <v>1323</v>
      </c>
      <c r="L29" s="109">
        <f t="shared" si="5"/>
        <v>1470</v>
      </c>
      <c r="M29" s="109">
        <f t="shared" si="5"/>
        <v>1627.75</v>
      </c>
      <c r="N29" s="109">
        <f t="shared" si="5"/>
        <v>1617</v>
      </c>
      <c r="O29" s="109">
        <f t="shared" si="5"/>
        <v>1627.75</v>
      </c>
      <c r="P29" s="110">
        <f>SUM(D29:O29)</f>
        <v>19346.05</v>
      </c>
      <c r="Q29" s="8"/>
      <c r="R29" s="122"/>
    </row>
    <row r="30" spans="1:18" ht="15">
      <c r="A30" s="8"/>
      <c r="B30" s="108" t="s">
        <v>9</v>
      </c>
      <c r="C30" s="106"/>
      <c r="D30" s="111">
        <v>0.05</v>
      </c>
      <c r="E30" s="111">
        <v>0.05</v>
      </c>
      <c r="F30" s="111">
        <v>0.05</v>
      </c>
      <c r="G30" s="111">
        <v>0.05</v>
      </c>
      <c r="H30" s="111">
        <v>0.05</v>
      </c>
      <c r="I30" s="111">
        <v>0.05</v>
      </c>
      <c r="J30" s="111">
        <v>0.05</v>
      </c>
      <c r="K30" s="111">
        <v>0.05</v>
      </c>
      <c r="L30" s="111">
        <v>0.05</v>
      </c>
      <c r="M30" s="111">
        <v>0.05</v>
      </c>
      <c r="N30" s="111">
        <v>0.05</v>
      </c>
      <c r="O30" s="111">
        <v>0.05</v>
      </c>
      <c r="P30" s="112">
        <v>0.05</v>
      </c>
      <c r="Q30" s="8"/>
      <c r="R30" s="121">
        <f>$R$40*P30</f>
        <v>34424.75</v>
      </c>
    </row>
    <row r="31" spans="1:18" ht="15">
      <c r="A31" s="8"/>
      <c r="B31" s="108">
        <v>4</v>
      </c>
      <c r="C31" s="106" t="s">
        <v>117</v>
      </c>
      <c r="D31" s="109">
        <f>D22*D32</f>
        <v>6840</v>
      </c>
      <c r="E31" s="109">
        <f aca="true" t="shared" si="6" ref="E31:O31">E22*E32</f>
        <v>4959</v>
      </c>
      <c r="F31" s="109">
        <f t="shared" si="6"/>
        <v>5292</v>
      </c>
      <c r="G31" s="109">
        <f t="shared" si="6"/>
        <v>5592.599999999999</v>
      </c>
      <c r="H31" s="109">
        <f t="shared" si="6"/>
        <v>6829.2</v>
      </c>
      <c r="I31" s="109">
        <f t="shared" si="6"/>
        <v>8478.18</v>
      </c>
      <c r="J31" s="109">
        <f t="shared" si="6"/>
        <v>4059</v>
      </c>
      <c r="K31" s="109">
        <f t="shared" si="6"/>
        <v>4762.8</v>
      </c>
      <c r="L31" s="109">
        <f t="shared" si="6"/>
        <v>5292</v>
      </c>
      <c r="M31" s="109">
        <f t="shared" si="6"/>
        <v>5859.9</v>
      </c>
      <c r="N31" s="109">
        <f t="shared" si="6"/>
        <v>5821.2</v>
      </c>
      <c r="O31" s="109">
        <f t="shared" si="6"/>
        <v>5859.9</v>
      </c>
      <c r="P31" s="110">
        <f>SUM(D31:O31)</f>
        <v>69645.78</v>
      </c>
      <c r="Q31" s="8"/>
      <c r="R31" s="122"/>
    </row>
    <row r="32" spans="1:18" ht="15">
      <c r="A32" s="8"/>
      <c r="B32" s="113" t="s">
        <v>10</v>
      </c>
      <c r="C32" s="106"/>
      <c r="D32" s="111">
        <v>0.18</v>
      </c>
      <c r="E32" s="111">
        <v>0.18</v>
      </c>
      <c r="F32" s="111">
        <v>0.18</v>
      </c>
      <c r="G32" s="111">
        <v>0.18</v>
      </c>
      <c r="H32" s="111">
        <v>0.18</v>
      </c>
      <c r="I32" s="111">
        <v>0.18</v>
      </c>
      <c r="J32" s="111">
        <v>0.18</v>
      </c>
      <c r="K32" s="111">
        <v>0.18</v>
      </c>
      <c r="L32" s="111">
        <v>0.18</v>
      </c>
      <c r="M32" s="111">
        <v>0.18</v>
      </c>
      <c r="N32" s="111">
        <v>0.18</v>
      </c>
      <c r="O32" s="111">
        <v>0.18</v>
      </c>
      <c r="P32" s="112">
        <v>0.18</v>
      </c>
      <c r="Q32" s="8"/>
      <c r="R32" s="121">
        <f>$R$40*P32</f>
        <v>123929.09999999999</v>
      </c>
    </row>
    <row r="33" spans="1:18" ht="15">
      <c r="A33" s="8"/>
      <c r="B33" s="108">
        <v>5</v>
      </c>
      <c r="C33" s="106" t="s">
        <v>118</v>
      </c>
      <c r="D33" s="109">
        <f>D22*D34</f>
        <v>9120</v>
      </c>
      <c r="E33" s="109">
        <f>E22*E34</f>
        <v>6612</v>
      </c>
      <c r="F33" s="109">
        <f>F22*F34</f>
        <v>7056</v>
      </c>
      <c r="G33" s="109">
        <f>G22*G34</f>
        <v>7456.799999999999</v>
      </c>
      <c r="H33" s="109">
        <f>H22*H34</f>
        <v>9105.6</v>
      </c>
      <c r="I33" s="109">
        <f aca="true" t="shared" si="7" ref="I33:O33">I22*I34</f>
        <v>11304.24</v>
      </c>
      <c r="J33" s="109">
        <f t="shared" si="7"/>
        <v>5412</v>
      </c>
      <c r="K33" s="109">
        <f t="shared" si="7"/>
        <v>6350.4</v>
      </c>
      <c r="L33" s="109">
        <f t="shared" si="7"/>
        <v>7056</v>
      </c>
      <c r="M33" s="109">
        <f t="shared" si="7"/>
        <v>7813.2</v>
      </c>
      <c r="N33" s="109">
        <f t="shared" si="7"/>
        <v>7761.599999999999</v>
      </c>
      <c r="O33" s="109">
        <f t="shared" si="7"/>
        <v>7813.2</v>
      </c>
      <c r="P33" s="110">
        <f>SUM(D33:O33)</f>
        <v>92861.04000000001</v>
      </c>
      <c r="Q33" s="8"/>
      <c r="R33" s="122"/>
    </row>
    <row r="34" spans="1:18" ht="15">
      <c r="A34" s="8"/>
      <c r="B34" s="108" t="s">
        <v>9</v>
      </c>
      <c r="C34" s="106"/>
      <c r="D34" s="111">
        <v>0.24</v>
      </c>
      <c r="E34" s="111">
        <v>0.24</v>
      </c>
      <c r="F34" s="111">
        <v>0.24</v>
      </c>
      <c r="G34" s="111">
        <v>0.24</v>
      </c>
      <c r="H34" s="111">
        <v>0.24</v>
      </c>
      <c r="I34" s="111">
        <v>0.24</v>
      </c>
      <c r="J34" s="111">
        <v>0.24</v>
      </c>
      <c r="K34" s="111">
        <v>0.24</v>
      </c>
      <c r="L34" s="111">
        <v>0.24</v>
      </c>
      <c r="M34" s="111">
        <v>0.24</v>
      </c>
      <c r="N34" s="111">
        <v>0.24</v>
      </c>
      <c r="O34" s="111">
        <v>0.24</v>
      </c>
      <c r="P34" s="112">
        <v>0.24</v>
      </c>
      <c r="Q34" s="8"/>
      <c r="R34" s="121">
        <f>$R$40*P34</f>
        <v>165238.8</v>
      </c>
    </row>
    <row r="35" spans="1:18" ht="15">
      <c r="A35" s="8"/>
      <c r="B35" s="108">
        <v>6</v>
      </c>
      <c r="C35" s="106" t="s">
        <v>119</v>
      </c>
      <c r="D35" s="109">
        <f>D22*D36</f>
        <v>7600</v>
      </c>
      <c r="E35" s="109">
        <f aca="true" t="shared" si="8" ref="E35:O35">E22*E36</f>
        <v>5510</v>
      </c>
      <c r="F35" s="109">
        <f t="shared" si="8"/>
        <v>5880</v>
      </c>
      <c r="G35" s="109">
        <f t="shared" si="8"/>
        <v>6214</v>
      </c>
      <c r="H35" s="109">
        <f t="shared" si="8"/>
        <v>7588</v>
      </c>
      <c r="I35" s="109">
        <f t="shared" si="8"/>
        <v>9420.2</v>
      </c>
      <c r="J35" s="109">
        <f t="shared" si="8"/>
        <v>4510</v>
      </c>
      <c r="K35" s="109">
        <f t="shared" si="8"/>
        <v>5292</v>
      </c>
      <c r="L35" s="109">
        <f t="shared" si="8"/>
        <v>5880</v>
      </c>
      <c r="M35" s="109">
        <f t="shared" si="8"/>
        <v>6511</v>
      </c>
      <c r="N35" s="109">
        <f t="shared" si="8"/>
        <v>6468</v>
      </c>
      <c r="O35" s="109">
        <f t="shared" si="8"/>
        <v>6511</v>
      </c>
      <c r="P35" s="110">
        <f>SUM(D35:O35)</f>
        <v>77384.2</v>
      </c>
      <c r="Q35" s="8"/>
      <c r="R35" s="122"/>
    </row>
    <row r="36" spans="1:18" ht="15">
      <c r="A36" s="8"/>
      <c r="B36" s="108" t="s">
        <v>9</v>
      </c>
      <c r="C36" s="106"/>
      <c r="D36" s="111">
        <v>0.2</v>
      </c>
      <c r="E36" s="111">
        <v>0.2</v>
      </c>
      <c r="F36" s="111">
        <v>0.2</v>
      </c>
      <c r="G36" s="111">
        <v>0.2</v>
      </c>
      <c r="H36" s="111">
        <v>0.2</v>
      </c>
      <c r="I36" s="111">
        <v>0.2</v>
      </c>
      <c r="J36" s="111">
        <v>0.2</v>
      </c>
      <c r="K36" s="111">
        <v>0.2</v>
      </c>
      <c r="L36" s="111">
        <v>0.2</v>
      </c>
      <c r="M36" s="111">
        <v>0.2</v>
      </c>
      <c r="N36" s="111">
        <v>0.2</v>
      </c>
      <c r="O36" s="111">
        <v>0.2</v>
      </c>
      <c r="P36" s="112">
        <v>0.2</v>
      </c>
      <c r="Q36" s="8"/>
      <c r="R36" s="121">
        <f>$R$40*P36</f>
        <v>137699</v>
      </c>
    </row>
    <row r="37" spans="1:18" ht="15">
      <c r="A37" s="8"/>
      <c r="B37" s="108">
        <v>7</v>
      </c>
      <c r="C37" s="106" t="s">
        <v>122</v>
      </c>
      <c r="D37" s="109">
        <f>D22*D38</f>
        <v>4940</v>
      </c>
      <c r="E37" s="109">
        <f aca="true" t="shared" si="9" ref="E37:O37">E22*E38</f>
        <v>3581.5</v>
      </c>
      <c r="F37" s="109">
        <f t="shared" si="9"/>
        <v>3822</v>
      </c>
      <c r="G37" s="109">
        <f t="shared" si="9"/>
        <v>4039.1000000000004</v>
      </c>
      <c r="H37" s="109">
        <f t="shared" si="9"/>
        <v>4932.2</v>
      </c>
      <c r="I37" s="109">
        <f t="shared" si="9"/>
        <v>6123.13</v>
      </c>
      <c r="J37" s="109">
        <f t="shared" si="9"/>
        <v>2931.5</v>
      </c>
      <c r="K37" s="109">
        <f t="shared" si="9"/>
        <v>3439.8</v>
      </c>
      <c r="L37" s="109">
        <f t="shared" si="9"/>
        <v>3822</v>
      </c>
      <c r="M37" s="109">
        <f t="shared" si="9"/>
        <v>4232.150000000001</v>
      </c>
      <c r="N37" s="109">
        <f t="shared" si="9"/>
        <v>4204.2</v>
      </c>
      <c r="O37" s="109">
        <f t="shared" si="9"/>
        <v>4232.150000000001</v>
      </c>
      <c r="P37" s="110">
        <f>SUM(D37:O37)</f>
        <v>50299.73</v>
      </c>
      <c r="Q37" s="8"/>
      <c r="R37" s="122"/>
    </row>
    <row r="38" spans="1:18" ht="15">
      <c r="A38" s="8"/>
      <c r="B38" s="108" t="s">
        <v>9</v>
      </c>
      <c r="C38" s="106"/>
      <c r="D38" s="111">
        <v>0.13</v>
      </c>
      <c r="E38" s="111">
        <v>0.13</v>
      </c>
      <c r="F38" s="111">
        <v>0.13</v>
      </c>
      <c r="G38" s="111">
        <v>0.13</v>
      </c>
      <c r="H38" s="111">
        <v>0.13</v>
      </c>
      <c r="I38" s="111">
        <v>0.13</v>
      </c>
      <c r="J38" s="111">
        <v>0.13</v>
      </c>
      <c r="K38" s="111">
        <v>0.13</v>
      </c>
      <c r="L38" s="111">
        <v>0.13</v>
      </c>
      <c r="M38" s="111">
        <v>0.13</v>
      </c>
      <c r="N38" s="111">
        <v>0.13</v>
      </c>
      <c r="O38" s="111">
        <v>0.13</v>
      </c>
      <c r="P38" s="112">
        <v>0.13</v>
      </c>
      <c r="Q38" s="8"/>
      <c r="R38" s="121">
        <f>$R$40*P38</f>
        <v>89504.35</v>
      </c>
    </row>
    <row r="39" spans="1:18" ht="15.75" thickBot="1">
      <c r="A39" s="8"/>
      <c r="B39" s="108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7"/>
      <c r="Q39" s="8"/>
      <c r="R39" s="71"/>
    </row>
    <row r="40" spans="1:18" ht="16.5" thickBot="1">
      <c r="A40" s="8"/>
      <c r="B40" s="114" t="s">
        <v>11</v>
      </c>
      <c r="C40" s="115"/>
      <c r="D40" s="116">
        <f>D25+D27+D29+D31+D33+D35+D37</f>
        <v>38000</v>
      </c>
      <c r="E40" s="116">
        <f aca="true" t="shared" si="10" ref="E40:P40">E25+E27+E29+E31+E33+E35+E37</f>
        <v>27550</v>
      </c>
      <c r="F40" s="116">
        <f t="shared" si="10"/>
        <v>29400</v>
      </c>
      <c r="G40" s="116">
        <f t="shared" si="10"/>
        <v>31070</v>
      </c>
      <c r="H40" s="116">
        <f t="shared" si="10"/>
        <v>37940</v>
      </c>
      <c r="I40" s="116">
        <f t="shared" si="10"/>
        <v>47100.99999999999</v>
      </c>
      <c r="J40" s="116">
        <f t="shared" si="10"/>
        <v>22550</v>
      </c>
      <c r="K40" s="116">
        <f t="shared" si="10"/>
        <v>26459.999999999996</v>
      </c>
      <c r="L40" s="116">
        <f t="shared" si="10"/>
        <v>29400</v>
      </c>
      <c r="M40" s="116">
        <f t="shared" si="10"/>
        <v>32555</v>
      </c>
      <c r="N40" s="116">
        <f t="shared" si="10"/>
        <v>32340</v>
      </c>
      <c r="O40" s="116">
        <f t="shared" si="10"/>
        <v>32555</v>
      </c>
      <c r="P40" s="117">
        <f t="shared" si="10"/>
        <v>386921</v>
      </c>
      <c r="Q40" s="8"/>
      <c r="R40" s="119">
        <v>688495</v>
      </c>
    </row>
    <row r="41" spans="1:17" ht="15">
      <c r="A41" s="8"/>
      <c r="B41" s="33" t="s">
        <v>12</v>
      </c>
      <c r="C41" s="33"/>
      <c r="D41" s="33">
        <f>SUM(D40/D22)*100</f>
        <v>100</v>
      </c>
      <c r="E41" s="33">
        <f>SUM(F40/F22)*100</f>
        <v>100</v>
      </c>
      <c r="F41" s="33">
        <f>SUM(G40/G22)*100</f>
        <v>100</v>
      </c>
      <c r="G41" s="33">
        <f aca="true" t="shared" si="11" ref="G41:P41">SUM(G40/G22)*100</f>
        <v>100</v>
      </c>
      <c r="H41" s="33">
        <f t="shared" si="11"/>
        <v>100</v>
      </c>
      <c r="I41" s="33">
        <f t="shared" si="11"/>
        <v>99.99999999999999</v>
      </c>
      <c r="J41" s="33">
        <f t="shared" si="11"/>
        <v>100</v>
      </c>
      <c r="K41" s="33">
        <f t="shared" si="11"/>
        <v>99.99999999999999</v>
      </c>
      <c r="L41" s="33">
        <f t="shared" si="11"/>
        <v>100</v>
      </c>
      <c r="M41" s="33">
        <f t="shared" si="11"/>
        <v>100</v>
      </c>
      <c r="N41" s="33">
        <f t="shared" si="11"/>
        <v>100</v>
      </c>
      <c r="O41" s="33">
        <f t="shared" si="11"/>
        <v>100</v>
      </c>
      <c r="P41" s="42">
        <f t="shared" si="11"/>
        <v>100</v>
      </c>
      <c r="Q41" s="8"/>
    </row>
    <row r="42" spans="1:17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.75">
      <c r="A43" s="8"/>
      <c r="B43" s="36" t="s">
        <v>19</v>
      </c>
      <c r="C43" s="38"/>
      <c r="D43" s="43">
        <f aca="true" t="shared" si="12" ref="D43:P43">D22-D40</f>
        <v>0</v>
      </c>
      <c r="E43" s="43">
        <f t="shared" si="12"/>
        <v>0</v>
      </c>
      <c r="F43" s="43">
        <f t="shared" si="12"/>
        <v>0</v>
      </c>
      <c r="G43" s="43">
        <f t="shared" si="12"/>
        <v>0</v>
      </c>
      <c r="H43" s="43">
        <f t="shared" si="12"/>
        <v>0</v>
      </c>
      <c r="I43" s="43">
        <f t="shared" si="12"/>
        <v>0</v>
      </c>
      <c r="J43" s="43">
        <f t="shared" si="12"/>
        <v>0</v>
      </c>
      <c r="K43" s="43">
        <f t="shared" si="12"/>
        <v>0</v>
      </c>
      <c r="L43" s="43">
        <f t="shared" si="12"/>
        <v>0</v>
      </c>
      <c r="M43" s="43">
        <f t="shared" si="12"/>
        <v>0</v>
      </c>
      <c r="N43" s="43">
        <f t="shared" si="12"/>
        <v>0</v>
      </c>
      <c r="O43" s="43">
        <f t="shared" si="12"/>
        <v>0</v>
      </c>
      <c r="P43" s="43">
        <f t="shared" si="12"/>
        <v>0</v>
      </c>
      <c r="Q43" s="8"/>
    </row>
    <row r="44" spans="1:17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7" spans="18:32" ht="15.75">
      <c r="R47" s="7"/>
      <c r="S47" s="7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2"/>
    </row>
    <row r="48" spans="18:32" ht="15"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8:32" ht="15.75">
      <c r="R49" s="7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8:32" ht="15">
      <c r="R50" s="8"/>
      <c r="S50" s="8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8:32" ht="15.75"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6"/>
    </row>
    <row r="52" spans="18:32" ht="15">
      <c r="R52" s="8"/>
      <c r="S52" s="8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8:32" ht="15.75"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6"/>
    </row>
    <row r="54" spans="18:32" ht="15">
      <c r="R54" s="8"/>
      <c r="S54" s="8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8:32" ht="15.75"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6"/>
    </row>
    <row r="56" spans="18:32" ht="15">
      <c r="R56" s="8"/>
      <c r="S56" s="8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8:32" ht="15.75">
      <c r="R57" s="14"/>
      <c r="S57" s="8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7"/>
    </row>
    <row r="58" spans="18:32" ht="15">
      <c r="R58" s="8"/>
      <c r="S58" s="8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8:32" ht="15.75">
      <c r="R59" s="8"/>
      <c r="S59" s="8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6"/>
    </row>
    <row r="60" spans="18:32" ht="15">
      <c r="R60" s="8"/>
      <c r="S60" s="8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8:32" ht="15.75">
      <c r="R61" s="8"/>
      <c r="S61" s="8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6"/>
    </row>
    <row r="62" spans="18:32" ht="15">
      <c r="R62" s="8"/>
      <c r="S62" s="8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8:32" ht="15.75">
      <c r="R63" s="8"/>
      <c r="S63" s="8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6"/>
    </row>
    <row r="64" spans="18:32" ht="15">
      <c r="R64" s="8"/>
      <c r="S64" s="8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8:32" ht="15.75">
      <c r="R65" s="8"/>
      <c r="S65" s="8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6"/>
    </row>
    <row r="66" spans="18:32" ht="15">
      <c r="R66" s="8"/>
      <c r="S66" s="8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8:32" ht="15.75">
      <c r="R67" s="8"/>
      <c r="S67" s="8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1"/>
    </row>
    <row r="68" spans="18:32" ht="15">
      <c r="R68" s="8"/>
      <c r="S68" s="8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8:32" ht="15.75">
      <c r="R69" s="8"/>
      <c r="S69" s="8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1"/>
    </row>
    <row r="70" spans="18:32" ht="15"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8:32" ht="15.75">
      <c r="R71" s="7"/>
      <c r="S71" s="8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8:32" ht="15"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5"/>
    </row>
    <row r="73" spans="18:32" ht="15"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8:32" ht="15.75">
      <c r="R74" s="7"/>
      <c r="S74" s="8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8:32" ht="1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</sheetData>
  <printOptions gridLines="1"/>
  <pageMargins left="0.16" right="0" top="0.984251968503937" bottom="0.984251968503937" header="0.5118110236220472" footer="0.5118110236220472"/>
  <pageSetup blackAndWhite="1" horizontalDpi="600" verticalDpi="600" orientation="landscape" paperSize="9" scale="6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5" zoomScaleNormal="85" workbookViewId="0" topLeftCell="A1">
      <selection activeCell="H7" sqref="H7"/>
    </sheetView>
  </sheetViews>
  <sheetFormatPr defaultColWidth="9.140625" defaultRowHeight="12.75"/>
  <cols>
    <col min="3" max="3" width="12.140625" style="0" customWidth="1"/>
    <col min="4" max="4" width="7.140625" style="0" customWidth="1"/>
    <col min="5" max="5" width="7.421875" style="0" customWidth="1"/>
    <col min="6" max="6" width="7.7109375" style="0" customWidth="1"/>
    <col min="7" max="9" width="8.421875" style="0" customWidth="1"/>
    <col min="10" max="10" width="8.140625" style="0" customWidth="1"/>
    <col min="11" max="11" width="7.8515625" style="0" customWidth="1"/>
    <col min="12" max="12" width="7.7109375" style="0" customWidth="1"/>
    <col min="13" max="13" width="8.421875" style="0" customWidth="1"/>
    <col min="14" max="14" width="7.8515625" style="0" customWidth="1"/>
    <col min="15" max="15" width="8.57421875" style="0" customWidth="1"/>
    <col min="16" max="16" width="8.140625" style="0" customWidth="1"/>
    <col min="17" max="17" width="9.28125" style="0" bestFit="1" customWidth="1"/>
  </cols>
  <sheetData>
    <row r="1" spans="1:3" ht="15.75">
      <c r="A1" s="69" t="s">
        <v>127</v>
      </c>
      <c r="B1" s="70"/>
      <c r="C1" s="70"/>
    </row>
    <row r="2" ht="12.75">
      <c r="B2" s="1" t="s">
        <v>112</v>
      </c>
    </row>
    <row r="5" spans="2:17" ht="12.75">
      <c r="B5" s="1"/>
      <c r="C5" s="1"/>
      <c r="D5" s="18" t="s">
        <v>74</v>
      </c>
      <c r="E5" s="18" t="s">
        <v>75</v>
      </c>
      <c r="F5" s="18" t="s">
        <v>76</v>
      </c>
      <c r="G5" s="18" t="s">
        <v>77</v>
      </c>
      <c r="H5" s="18" t="s">
        <v>78</v>
      </c>
      <c r="I5" s="18" t="s">
        <v>79</v>
      </c>
      <c r="J5" s="18" t="s">
        <v>80</v>
      </c>
      <c r="K5" s="18" t="s">
        <v>81</v>
      </c>
      <c r="L5" s="18" t="s">
        <v>82</v>
      </c>
      <c r="M5" s="18" t="s">
        <v>83</v>
      </c>
      <c r="N5" s="18" t="s">
        <v>5</v>
      </c>
      <c r="O5" s="18" t="s">
        <v>73</v>
      </c>
      <c r="P5" s="18" t="s">
        <v>6</v>
      </c>
      <c r="Q5" s="60" t="s">
        <v>63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Q6" s="57"/>
    </row>
    <row r="7" spans="2:17" ht="12.75">
      <c r="B7" s="51" t="s">
        <v>38</v>
      </c>
      <c r="C7" s="51"/>
      <c r="D7" s="52">
        <f>'open to buy'!D5</f>
        <v>66500</v>
      </c>
      <c r="E7" s="52">
        <f>'open to buy'!E5</f>
        <v>48000</v>
      </c>
      <c r="F7" s="52">
        <f>'open to buy'!F5</f>
        <v>50000</v>
      </c>
      <c r="G7" s="52">
        <f>'open to buy'!G5</f>
        <v>55300</v>
      </c>
      <c r="H7" s="52">
        <f>'open to buy'!H5</f>
        <v>69850</v>
      </c>
      <c r="I7" s="52">
        <f>'open to buy'!I5</f>
        <v>88855</v>
      </c>
      <c r="J7" s="52">
        <f>'open to buy'!J5</f>
        <v>42500</v>
      </c>
      <c r="K7" s="52">
        <f>'open to buy'!K5</f>
        <v>44650</v>
      </c>
      <c r="L7" s="52">
        <f>'open to buy'!L5</f>
        <v>51040</v>
      </c>
      <c r="M7" s="52">
        <f>'open to buy'!M5</f>
        <v>57000</v>
      </c>
      <c r="N7" s="52">
        <f>'open to buy'!N5</f>
        <v>55000</v>
      </c>
      <c r="O7" s="52">
        <f>'open to buy'!O5</f>
        <v>59800</v>
      </c>
      <c r="P7" s="53">
        <f>SUM(D7:O7)</f>
        <v>688495</v>
      </c>
      <c r="Q7" s="57"/>
    </row>
    <row r="8" spans="2:17" ht="12.75">
      <c r="B8" s="51" t="s">
        <v>121</v>
      </c>
      <c r="C8" s="51"/>
      <c r="D8" s="53">
        <f>D7*1.1</f>
        <v>73150</v>
      </c>
      <c r="E8" s="53">
        <f aca="true" t="shared" si="0" ref="E8:O8">E7*1.1</f>
        <v>52800.00000000001</v>
      </c>
      <c r="F8" s="53">
        <f t="shared" si="0"/>
        <v>55000.00000000001</v>
      </c>
      <c r="G8" s="53">
        <f t="shared" si="0"/>
        <v>60830.00000000001</v>
      </c>
      <c r="H8" s="53">
        <f t="shared" si="0"/>
        <v>76835</v>
      </c>
      <c r="I8" s="53">
        <f t="shared" si="0"/>
        <v>97740.50000000001</v>
      </c>
      <c r="J8" s="53">
        <f t="shared" si="0"/>
        <v>46750.00000000001</v>
      </c>
      <c r="K8" s="53">
        <f t="shared" si="0"/>
        <v>49115.00000000001</v>
      </c>
      <c r="L8" s="53">
        <f t="shared" si="0"/>
        <v>56144.00000000001</v>
      </c>
      <c r="M8" s="53">
        <f t="shared" si="0"/>
        <v>62700.00000000001</v>
      </c>
      <c r="N8" s="53">
        <f t="shared" si="0"/>
        <v>60500.00000000001</v>
      </c>
      <c r="O8" s="53">
        <f t="shared" si="0"/>
        <v>65780</v>
      </c>
      <c r="P8" s="53">
        <f>SUM(D8:O8)</f>
        <v>757344.5</v>
      </c>
      <c r="Q8" s="58">
        <v>1</v>
      </c>
    </row>
    <row r="9" spans="2:17" ht="12.75">
      <c r="B9" s="53" t="s">
        <v>40</v>
      </c>
      <c r="C9" s="53"/>
      <c r="D9" s="53">
        <f>'open to buy'!D6</f>
        <v>0</v>
      </c>
      <c r="E9" s="53">
        <f>'open to buy'!E6</f>
        <v>0</v>
      </c>
      <c r="F9" s="53">
        <f>'open to buy'!F6</f>
        <v>0</v>
      </c>
      <c r="G9" s="53">
        <f>'open to buy'!G6</f>
        <v>0</v>
      </c>
      <c r="H9" s="53">
        <f>'open to buy'!H6</f>
        <v>0</v>
      </c>
      <c r="I9" s="53">
        <f>'open to buy'!I6</f>
        <v>0</v>
      </c>
      <c r="J9" s="53">
        <f>'open to buy'!J6</f>
        <v>0</v>
      </c>
      <c r="K9" s="53">
        <f>'open to buy'!K6</f>
        <v>0</v>
      </c>
      <c r="L9" s="53">
        <f>'open to buy'!L6</f>
        <v>0</v>
      </c>
      <c r="M9" s="53">
        <f>'open to buy'!M6</f>
        <v>0</v>
      </c>
      <c r="N9" s="53">
        <f>'open to buy'!N6</f>
        <v>0</v>
      </c>
      <c r="O9" s="53">
        <f>'open to buy'!O6</f>
        <v>0</v>
      </c>
      <c r="P9" s="53">
        <f>SUM(D9:O9)</f>
        <v>0</v>
      </c>
      <c r="Q9" s="57"/>
    </row>
    <row r="10" spans="2:17" ht="12.7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2"/>
      <c r="P10" s="52"/>
      <c r="Q10" s="57"/>
    </row>
    <row r="11" spans="2:17" ht="12.75">
      <c r="B11" s="18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>
        <f>SUM(D11/D8)</f>
        <v>0</v>
      </c>
    </row>
    <row r="12" spans="2:17" ht="12.75">
      <c r="B12" s="56" t="s">
        <v>47</v>
      </c>
      <c r="C12" s="56"/>
      <c r="D12" s="56">
        <v>100</v>
      </c>
      <c r="E12" s="56">
        <v>100</v>
      </c>
      <c r="F12" s="56">
        <v>100</v>
      </c>
      <c r="G12" s="56">
        <v>100</v>
      </c>
      <c r="H12" s="56">
        <v>100</v>
      </c>
      <c r="I12" s="56">
        <v>100</v>
      </c>
      <c r="J12" s="56">
        <v>100</v>
      </c>
      <c r="K12" s="56">
        <v>100</v>
      </c>
      <c r="L12" s="56">
        <v>100</v>
      </c>
      <c r="M12" s="56">
        <v>100</v>
      </c>
      <c r="N12" s="56">
        <v>100</v>
      </c>
      <c r="O12" s="56">
        <v>100</v>
      </c>
      <c r="P12" s="56">
        <f aca="true" t="shared" si="1" ref="P12:P33">SUM(D12:O12)</f>
        <v>1200</v>
      </c>
      <c r="Q12" s="59">
        <f>SUM(P12/P8)</f>
        <v>0.0015844836794880004</v>
      </c>
    </row>
    <row r="13" spans="2:17" ht="12.75">
      <c r="B13" s="56" t="s">
        <v>48</v>
      </c>
      <c r="C13" s="56"/>
      <c r="D13" s="56">
        <v>200</v>
      </c>
      <c r="E13" s="56">
        <v>200</v>
      </c>
      <c r="F13" s="56">
        <v>200</v>
      </c>
      <c r="G13" s="56">
        <v>200</v>
      </c>
      <c r="H13" s="56">
        <v>200</v>
      </c>
      <c r="I13" s="56">
        <v>200</v>
      </c>
      <c r="J13" s="56">
        <v>200</v>
      </c>
      <c r="K13" s="56">
        <v>200</v>
      </c>
      <c r="L13" s="56">
        <v>200</v>
      </c>
      <c r="M13" s="56">
        <v>200</v>
      </c>
      <c r="N13" s="56">
        <v>200</v>
      </c>
      <c r="O13" s="56">
        <v>200</v>
      </c>
      <c r="P13" s="56">
        <f t="shared" si="1"/>
        <v>2400</v>
      </c>
      <c r="Q13" s="59">
        <f>SUM(P13/P8)</f>
        <v>0.003168967358976001</v>
      </c>
    </row>
    <row r="14" spans="2:17" ht="12.75">
      <c r="B14" s="56" t="s">
        <v>49</v>
      </c>
      <c r="C14" s="56"/>
      <c r="D14" s="56">
        <v>200</v>
      </c>
      <c r="E14" s="56">
        <v>200</v>
      </c>
      <c r="F14" s="56">
        <v>200</v>
      </c>
      <c r="G14" s="56">
        <v>200</v>
      </c>
      <c r="H14" s="56">
        <v>200</v>
      </c>
      <c r="I14" s="56">
        <v>200</v>
      </c>
      <c r="J14" s="56">
        <v>200</v>
      </c>
      <c r="K14" s="56">
        <v>200</v>
      </c>
      <c r="L14" s="56">
        <v>200</v>
      </c>
      <c r="M14" s="56">
        <v>200</v>
      </c>
      <c r="N14" s="56">
        <v>200</v>
      </c>
      <c r="O14" s="56">
        <v>200</v>
      </c>
      <c r="P14" s="56">
        <f t="shared" si="1"/>
        <v>2400</v>
      </c>
      <c r="Q14" s="59">
        <f>SUM(P14/P8)</f>
        <v>0.003168967358976001</v>
      </c>
    </row>
    <row r="15" spans="2:17" ht="12.75">
      <c r="B15" s="56" t="s">
        <v>125</v>
      </c>
      <c r="C15" s="56"/>
      <c r="D15" s="56">
        <v>5000</v>
      </c>
      <c r="E15" s="56">
        <v>5000</v>
      </c>
      <c r="F15" s="56">
        <v>5000</v>
      </c>
      <c r="G15" s="56">
        <v>5000</v>
      </c>
      <c r="H15" s="56">
        <v>5000</v>
      </c>
      <c r="I15" s="56">
        <v>5000</v>
      </c>
      <c r="J15" s="56">
        <v>5000</v>
      </c>
      <c r="K15" s="56">
        <v>5000</v>
      </c>
      <c r="L15" s="56">
        <v>5000</v>
      </c>
      <c r="M15" s="56">
        <v>5000</v>
      </c>
      <c r="N15" s="56">
        <v>5000</v>
      </c>
      <c r="O15" s="56">
        <v>5000</v>
      </c>
      <c r="P15" s="56">
        <f t="shared" si="1"/>
        <v>60000</v>
      </c>
      <c r="Q15" s="59">
        <f>SUM(P15/P8)</f>
        <v>0.07922418397440002</v>
      </c>
    </row>
    <row r="16" spans="2:17" ht="12.75">
      <c r="B16" s="56" t="s">
        <v>50</v>
      </c>
      <c r="C16" s="56"/>
      <c r="D16" s="56">
        <v>200</v>
      </c>
      <c r="E16" s="56">
        <v>200</v>
      </c>
      <c r="F16" s="56">
        <v>200</v>
      </c>
      <c r="G16" s="56">
        <v>200</v>
      </c>
      <c r="H16" s="56">
        <v>200</v>
      </c>
      <c r="I16" s="56">
        <v>200</v>
      </c>
      <c r="J16" s="56">
        <v>200</v>
      </c>
      <c r="K16" s="56">
        <v>200</v>
      </c>
      <c r="L16" s="56">
        <v>200</v>
      </c>
      <c r="M16" s="56">
        <v>200</v>
      </c>
      <c r="N16" s="56">
        <v>200</v>
      </c>
      <c r="O16" s="56">
        <v>200</v>
      </c>
      <c r="P16" s="56">
        <f t="shared" si="1"/>
        <v>2400</v>
      </c>
      <c r="Q16" s="59">
        <f>SUM(P16/P8)</f>
        <v>0.003168967358976001</v>
      </c>
    </row>
    <row r="17" spans="2:17" ht="12.75">
      <c r="B17" s="56" t="s">
        <v>51</v>
      </c>
      <c r="C17" s="56"/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f t="shared" si="1"/>
        <v>0</v>
      </c>
      <c r="Q17" s="59">
        <f>SUM(P17/P8)</f>
        <v>0</v>
      </c>
    </row>
    <row r="18" spans="2:17" ht="12.75">
      <c r="B18" s="56" t="s">
        <v>52</v>
      </c>
      <c r="C18" s="56"/>
      <c r="D18" s="56">
        <v>200</v>
      </c>
      <c r="E18" s="56">
        <v>200</v>
      </c>
      <c r="F18" s="56">
        <v>200</v>
      </c>
      <c r="G18" s="56">
        <v>200</v>
      </c>
      <c r="H18" s="56">
        <v>200</v>
      </c>
      <c r="I18" s="56">
        <v>200</v>
      </c>
      <c r="J18" s="56">
        <v>200</v>
      </c>
      <c r="K18" s="56">
        <v>200</v>
      </c>
      <c r="L18" s="56">
        <v>200</v>
      </c>
      <c r="M18" s="56">
        <v>200</v>
      </c>
      <c r="N18" s="56">
        <v>200</v>
      </c>
      <c r="O18" s="56">
        <v>200</v>
      </c>
      <c r="P18" s="56">
        <f t="shared" si="1"/>
        <v>2400</v>
      </c>
      <c r="Q18" s="59">
        <f>SUM(P18/P8)</f>
        <v>0.003168967358976001</v>
      </c>
    </row>
    <row r="19" spans="2:17" ht="12.75">
      <c r="B19" s="56" t="s">
        <v>53</v>
      </c>
      <c r="C19" s="56"/>
      <c r="D19" s="56">
        <v>600</v>
      </c>
      <c r="E19" s="56">
        <v>600</v>
      </c>
      <c r="F19" s="56">
        <v>600</v>
      </c>
      <c r="G19" s="56">
        <v>600</v>
      </c>
      <c r="H19" s="56">
        <v>600</v>
      </c>
      <c r="I19" s="56">
        <v>600</v>
      </c>
      <c r="J19" s="56">
        <v>600</v>
      </c>
      <c r="K19" s="56">
        <v>600</v>
      </c>
      <c r="L19" s="56">
        <v>600</v>
      </c>
      <c r="M19" s="56">
        <v>600</v>
      </c>
      <c r="N19" s="56">
        <v>600</v>
      </c>
      <c r="O19" s="56">
        <v>600</v>
      </c>
      <c r="P19" s="56">
        <f t="shared" si="1"/>
        <v>7200</v>
      </c>
      <c r="Q19" s="59">
        <f>SUM(P19/P8)</f>
        <v>0.009506902076928003</v>
      </c>
    </row>
    <row r="20" spans="2:17" ht="12.75">
      <c r="B20" s="56" t="s">
        <v>54</v>
      </c>
      <c r="C20" s="56"/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f t="shared" si="1"/>
        <v>0</v>
      </c>
      <c r="Q20" s="59">
        <f>SUM(P20/P8)</f>
        <v>0</v>
      </c>
    </row>
    <row r="21" spans="2:17" ht="12.75">
      <c r="B21" s="56" t="s">
        <v>55</v>
      </c>
      <c r="C21" s="56"/>
      <c r="D21" s="56">
        <v>50</v>
      </c>
      <c r="E21" s="56">
        <v>50</v>
      </c>
      <c r="F21" s="56">
        <v>50</v>
      </c>
      <c r="G21" s="56">
        <v>50</v>
      </c>
      <c r="H21" s="56">
        <v>50</v>
      </c>
      <c r="I21" s="56">
        <v>50</v>
      </c>
      <c r="J21" s="56">
        <v>50</v>
      </c>
      <c r="K21" s="56">
        <v>50</v>
      </c>
      <c r="L21" s="56">
        <v>50</v>
      </c>
      <c r="M21" s="56">
        <v>50</v>
      </c>
      <c r="N21" s="56">
        <v>50</v>
      </c>
      <c r="O21" s="56">
        <v>50</v>
      </c>
      <c r="P21" s="56">
        <f t="shared" si="1"/>
        <v>600</v>
      </c>
      <c r="Q21" s="59">
        <f>SUM(P21/P8)</f>
        <v>0.0007922418397440002</v>
      </c>
    </row>
    <row r="22" spans="2:17" ht="12.75">
      <c r="B22" s="56" t="s">
        <v>56</v>
      </c>
      <c r="C22" s="56"/>
      <c r="D22" s="56">
        <v>100</v>
      </c>
      <c r="E22" s="56">
        <v>100</v>
      </c>
      <c r="F22" s="56">
        <v>100</v>
      </c>
      <c r="G22" s="56">
        <v>100</v>
      </c>
      <c r="H22" s="56">
        <v>100</v>
      </c>
      <c r="I22" s="56">
        <v>100</v>
      </c>
      <c r="J22" s="56">
        <v>100</v>
      </c>
      <c r="K22" s="56">
        <v>100</v>
      </c>
      <c r="L22" s="56">
        <v>100</v>
      </c>
      <c r="M22" s="56">
        <v>100</v>
      </c>
      <c r="N22" s="56">
        <v>100</v>
      </c>
      <c r="O22" s="56">
        <v>100</v>
      </c>
      <c r="P22" s="56">
        <f t="shared" si="1"/>
        <v>1200</v>
      </c>
      <c r="Q22" s="59">
        <f>SUM(P22/P8)</f>
        <v>0.0015844836794880004</v>
      </c>
    </row>
    <row r="23" spans="2:17" ht="12.75">
      <c r="B23" s="56" t="s">
        <v>62</v>
      </c>
      <c r="C23" s="56"/>
      <c r="D23" s="56">
        <v>7200</v>
      </c>
      <c r="E23" s="56">
        <v>7200</v>
      </c>
      <c r="F23" s="56">
        <v>7200</v>
      </c>
      <c r="G23" s="56">
        <v>7200</v>
      </c>
      <c r="H23" s="56">
        <v>7200</v>
      </c>
      <c r="I23" s="56">
        <v>7200</v>
      </c>
      <c r="J23" s="56">
        <v>7200</v>
      </c>
      <c r="K23" s="56">
        <v>7200</v>
      </c>
      <c r="L23" s="56">
        <v>7200</v>
      </c>
      <c r="M23" s="56">
        <v>7200</v>
      </c>
      <c r="N23" s="56">
        <v>7200</v>
      </c>
      <c r="O23" s="56">
        <v>7200</v>
      </c>
      <c r="P23" s="56">
        <f t="shared" si="1"/>
        <v>86400</v>
      </c>
      <c r="Q23" s="59">
        <f>SUM(P23/P8)</f>
        <v>0.11408282492313604</v>
      </c>
    </row>
    <row r="24" spans="2:17" ht="12.75">
      <c r="B24" s="56" t="s">
        <v>57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>
        <f t="shared" si="1"/>
        <v>0</v>
      </c>
      <c r="Q24" s="59">
        <f>SUM(P24/P8)</f>
        <v>0</v>
      </c>
    </row>
    <row r="25" spans="2:19" ht="12.75">
      <c r="B25" s="56" t="s">
        <v>58</v>
      </c>
      <c r="C25" s="56"/>
      <c r="D25" s="56">
        <v>6200</v>
      </c>
      <c r="E25" s="56">
        <v>6200</v>
      </c>
      <c r="F25" s="56">
        <v>6200</v>
      </c>
      <c r="G25" s="56">
        <v>6200</v>
      </c>
      <c r="H25" s="56">
        <v>9600</v>
      </c>
      <c r="I25" s="56">
        <v>6600</v>
      </c>
      <c r="J25" s="56">
        <v>6200</v>
      </c>
      <c r="K25" s="56">
        <v>6200</v>
      </c>
      <c r="L25" s="56">
        <v>6200</v>
      </c>
      <c r="M25" s="56">
        <v>6200</v>
      </c>
      <c r="N25" s="56">
        <v>6200</v>
      </c>
      <c r="O25" s="56">
        <v>6600</v>
      </c>
      <c r="P25" s="56">
        <f t="shared" si="1"/>
        <v>78600</v>
      </c>
      <c r="Q25" s="59">
        <f>SUM(P25/P8)</f>
        <v>0.10378368100646403</v>
      </c>
      <c r="R25" s="97" t="s">
        <v>111</v>
      </c>
      <c r="S25" t="s">
        <v>111</v>
      </c>
    </row>
    <row r="26" spans="2:17" ht="12.75">
      <c r="B26" s="56" t="s">
        <v>64</v>
      </c>
      <c r="C26" s="56"/>
      <c r="D26" s="56">
        <v>300</v>
      </c>
      <c r="E26" s="56">
        <v>300</v>
      </c>
      <c r="F26" s="56">
        <v>300</v>
      </c>
      <c r="G26" s="56">
        <v>300</v>
      </c>
      <c r="H26" s="56">
        <v>300</v>
      </c>
      <c r="I26" s="56">
        <v>300</v>
      </c>
      <c r="J26" s="56">
        <v>300</v>
      </c>
      <c r="K26" s="56">
        <v>300</v>
      </c>
      <c r="L26" s="56">
        <v>300</v>
      </c>
      <c r="M26" s="56">
        <v>300</v>
      </c>
      <c r="N26" s="56">
        <v>300</v>
      </c>
      <c r="O26" s="56">
        <v>300</v>
      </c>
      <c r="P26" s="56">
        <f t="shared" si="1"/>
        <v>3600</v>
      </c>
      <c r="Q26" s="59">
        <f>SUM(P26/P8)</f>
        <v>0.004753451038464002</v>
      </c>
    </row>
    <row r="27" spans="2:17" ht="12.75">
      <c r="B27" s="56" t="s">
        <v>59</v>
      </c>
      <c r="C27" s="56"/>
      <c r="D27" s="56">
        <v>180</v>
      </c>
      <c r="E27" s="56">
        <v>180</v>
      </c>
      <c r="F27" s="56">
        <v>180</v>
      </c>
      <c r="G27" s="56">
        <v>180</v>
      </c>
      <c r="H27" s="56">
        <v>180</v>
      </c>
      <c r="I27" s="56">
        <v>180</v>
      </c>
      <c r="J27" s="56">
        <v>180</v>
      </c>
      <c r="K27" s="56">
        <v>180</v>
      </c>
      <c r="L27" s="56">
        <v>180</v>
      </c>
      <c r="M27" s="56">
        <v>180</v>
      </c>
      <c r="N27" s="56">
        <v>180</v>
      </c>
      <c r="O27" s="56">
        <v>180</v>
      </c>
      <c r="P27" s="56">
        <f t="shared" si="1"/>
        <v>2160</v>
      </c>
      <c r="Q27" s="59">
        <f>SUM(P27/P8)</f>
        <v>0.002852070623078401</v>
      </c>
    </row>
    <row r="28" spans="2:17" ht="12.75">
      <c r="B28" s="56" t="s">
        <v>60</v>
      </c>
      <c r="C28" s="56"/>
      <c r="D28" s="56">
        <v>100</v>
      </c>
      <c r="E28" s="56">
        <v>100</v>
      </c>
      <c r="F28" s="56">
        <v>100</v>
      </c>
      <c r="G28" s="56">
        <v>100</v>
      </c>
      <c r="H28" s="56">
        <v>100</v>
      </c>
      <c r="I28" s="56">
        <v>100</v>
      </c>
      <c r="J28" s="56">
        <v>100</v>
      </c>
      <c r="K28" s="56">
        <v>100</v>
      </c>
      <c r="L28" s="56">
        <v>100</v>
      </c>
      <c r="M28" s="56">
        <v>100</v>
      </c>
      <c r="N28" s="56">
        <v>100</v>
      </c>
      <c r="O28" s="56">
        <v>100</v>
      </c>
      <c r="P28" s="56">
        <f t="shared" si="1"/>
        <v>1200</v>
      </c>
      <c r="Q28" s="59">
        <f>SUM(P28/P8)</f>
        <v>0.0015844836794880004</v>
      </c>
    </row>
    <row r="29" spans="2:17" ht="12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>
        <f t="shared" si="1"/>
        <v>0</v>
      </c>
      <c r="Q29" s="59">
        <f>SUM(P29/P8)</f>
        <v>0</v>
      </c>
    </row>
    <row r="30" spans="2:17" ht="12.75">
      <c r="B30" s="24" t="s">
        <v>61</v>
      </c>
      <c r="C30" s="25"/>
      <c r="D30" s="25">
        <f>SUM(D12:D29)</f>
        <v>20630</v>
      </c>
      <c r="E30" s="25">
        <f aca="true" t="shared" si="2" ref="E30:O30">SUM(E12:E29)</f>
        <v>20630</v>
      </c>
      <c r="F30" s="25">
        <f t="shared" si="2"/>
        <v>20630</v>
      </c>
      <c r="G30" s="25">
        <f t="shared" si="2"/>
        <v>20630</v>
      </c>
      <c r="H30" s="25">
        <f t="shared" si="2"/>
        <v>24030</v>
      </c>
      <c r="I30" s="25">
        <f t="shared" si="2"/>
        <v>21030</v>
      </c>
      <c r="J30" s="25">
        <f t="shared" si="2"/>
        <v>20630</v>
      </c>
      <c r="K30" s="25">
        <f t="shared" si="2"/>
        <v>20630</v>
      </c>
      <c r="L30" s="25">
        <f t="shared" si="2"/>
        <v>20630</v>
      </c>
      <c r="M30" s="25">
        <f t="shared" si="2"/>
        <v>20630</v>
      </c>
      <c r="N30" s="25">
        <f t="shared" si="2"/>
        <v>20630</v>
      </c>
      <c r="O30" s="25">
        <f t="shared" si="2"/>
        <v>21030</v>
      </c>
      <c r="P30" s="25">
        <f t="shared" si="1"/>
        <v>251760</v>
      </c>
      <c r="Q30" s="59">
        <f>SUM(P30/P8)</f>
        <v>0.3324246759565825</v>
      </c>
    </row>
    <row r="31" spans="2:17" ht="12.75">
      <c r="B31" s="25" t="s">
        <v>20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>
        <f t="shared" si="1"/>
        <v>0</v>
      </c>
      <c r="Q31" s="57"/>
    </row>
    <row r="32" spans="2:17" ht="12.75">
      <c r="B32" s="24" t="s">
        <v>22</v>
      </c>
      <c r="C32" s="25"/>
      <c r="D32" s="25">
        <f aca="true" t="shared" si="3" ref="D32:P32">D8-D30</f>
        <v>52520</v>
      </c>
      <c r="E32" s="25">
        <f t="shared" si="3"/>
        <v>32170.000000000007</v>
      </c>
      <c r="F32" s="25">
        <f t="shared" si="3"/>
        <v>34370.00000000001</v>
      </c>
      <c r="G32" s="25">
        <f t="shared" si="3"/>
        <v>40200.00000000001</v>
      </c>
      <c r="H32" s="25">
        <f t="shared" si="3"/>
        <v>52805</v>
      </c>
      <c r="I32" s="25">
        <f t="shared" si="3"/>
        <v>76710.50000000001</v>
      </c>
      <c r="J32" s="25">
        <f t="shared" si="3"/>
        <v>26120.000000000007</v>
      </c>
      <c r="K32" s="25">
        <f t="shared" si="3"/>
        <v>28485.000000000007</v>
      </c>
      <c r="L32" s="25">
        <f t="shared" si="3"/>
        <v>35514.00000000001</v>
      </c>
      <c r="M32" s="25">
        <f t="shared" si="3"/>
        <v>42070.00000000001</v>
      </c>
      <c r="N32" s="25">
        <f t="shared" si="3"/>
        <v>39870.00000000001</v>
      </c>
      <c r="O32" s="25">
        <f t="shared" si="3"/>
        <v>44750</v>
      </c>
      <c r="P32" s="25">
        <f t="shared" si="3"/>
        <v>505584.5</v>
      </c>
      <c r="Q32" s="59">
        <f>SUM(P32/P8)</f>
        <v>0.6675753240434175</v>
      </c>
    </row>
    <row r="33" spans="2:16" ht="12.75">
      <c r="B33" s="24" t="s">
        <v>65</v>
      </c>
      <c r="C33" s="25"/>
      <c r="D33" s="25">
        <v>5000</v>
      </c>
      <c r="E33" s="25">
        <v>1500</v>
      </c>
      <c r="F33" s="25">
        <v>1500</v>
      </c>
      <c r="G33" s="25">
        <v>1500</v>
      </c>
      <c r="H33" s="25">
        <v>5000</v>
      </c>
      <c r="I33" s="25">
        <v>1500</v>
      </c>
      <c r="J33" s="25">
        <v>1500</v>
      </c>
      <c r="K33" s="25">
        <v>8500</v>
      </c>
      <c r="L33" s="25">
        <v>1500</v>
      </c>
      <c r="M33" s="25">
        <v>1500</v>
      </c>
      <c r="N33" s="25">
        <v>1500</v>
      </c>
      <c r="O33" s="25">
        <v>1500</v>
      </c>
      <c r="P33" s="25">
        <f t="shared" si="1"/>
        <v>32000</v>
      </c>
    </row>
    <row r="34" spans="2:16" ht="12.75">
      <c r="B34" s="61" t="s">
        <v>20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2.75">
      <c r="B35" s="62" t="s">
        <v>66</v>
      </c>
      <c r="C35" s="63"/>
      <c r="D35" s="63">
        <f>D32-D33</f>
        <v>47520</v>
      </c>
      <c r="E35" s="63">
        <f aca="true" t="shared" si="4" ref="E35:O35">E32-E33</f>
        <v>30670.000000000007</v>
      </c>
      <c r="F35" s="63">
        <f t="shared" si="4"/>
        <v>32870.00000000001</v>
      </c>
      <c r="G35" s="63">
        <f t="shared" si="4"/>
        <v>38700.00000000001</v>
      </c>
      <c r="H35" s="63">
        <f t="shared" si="4"/>
        <v>47805</v>
      </c>
      <c r="I35" s="63">
        <f t="shared" si="4"/>
        <v>75210.50000000001</v>
      </c>
      <c r="J35" s="63">
        <f t="shared" si="4"/>
        <v>24620.000000000007</v>
      </c>
      <c r="K35" s="63">
        <f t="shared" si="4"/>
        <v>19985.000000000007</v>
      </c>
      <c r="L35" s="63">
        <f t="shared" si="4"/>
        <v>34014.00000000001</v>
      </c>
      <c r="M35" s="63">
        <f t="shared" si="4"/>
        <v>40570.00000000001</v>
      </c>
      <c r="N35" s="63">
        <f t="shared" si="4"/>
        <v>38370.00000000001</v>
      </c>
      <c r="O35" s="63">
        <f t="shared" si="4"/>
        <v>43250</v>
      </c>
      <c r="P35" s="63">
        <f>P32-P33</f>
        <v>473584.5</v>
      </c>
    </row>
  </sheetData>
  <printOptions gridLines="1"/>
  <pageMargins left="0" right="0" top="0.29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85" zoomScaleNormal="85" workbookViewId="0" topLeftCell="B1">
      <selection activeCell="R31" sqref="R31"/>
    </sheetView>
  </sheetViews>
  <sheetFormatPr defaultColWidth="9.140625" defaultRowHeight="12.75"/>
  <cols>
    <col min="1" max="1" width="0.13671875" style="0" hidden="1" customWidth="1"/>
    <col min="3" max="3" width="11.7109375" style="0" customWidth="1"/>
    <col min="4" max="4" width="9.421875" style="0" customWidth="1"/>
    <col min="5" max="5" width="9.7109375" style="0" customWidth="1"/>
    <col min="6" max="6" width="10.7109375" style="0" customWidth="1"/>
    <col min="7" max="7" width="9.00390625" style="0" customWidth="1"/>
    <col min="8" max="8" width="10.28125" style="0" customWidth="1"/>
    <col min="9" max="9" width="11.00390625" style="0" customWidth="1"/>
    <col min="15" max="15" width="9.421875" style="0" customWidth="1"/>
    <col min="16" max="16" width="11.57421875" style="0" customWidth="1"/>
  </cols>
  <sheetData>
    <row r="1" spans="2:4" ht="15.75">
      <c r="B1" s="69" t="s">
        <v>127</v>
      </c>
      <c r="C1" s="70"/>
      <c r="D1" s="7" t="s">
        <v>113</v>
      </c>
    </row>
    <row r="3" spans="1:16" ht="12.75">
      <c r="A3" s="1"/>
      <c r="B3" s="1"/>
      <c r="C3" s="1"/>
      <c r="D3" s="18" t="s">
        <v>74</v>
      </c>
      <c r="E3" s="18" t="s">
        <v>75</v>
      </c>
      <c r="F3" s="18" t="s">
        <v>76</v>
      </c>
      <c r="G3" s="18" t="s">
        <v>77</v>
      </c>
      <c r="H3" s="18" t="s">
        <v>78</v>
      </c>
      <c r="I3" s="18" t="s">
        <v>79</v>
      </c>
      <c r="J3" s="18" t="s">
        <v>80</v>
      </c>
      <c r="K3" s="18" t="s">
        <v>81</v>
      </c>
      <c r="L3" s="18" t="s">
        <v>82</v>
      </c>
      <c r="M3" s="18" t="s">
        <v>83</v>
      </c>
      <c r="N3" s="18" t="s">
        <v>5</v>
      </c>
      <c r="O3" s="18" t="s">
        <v>73</v>
      </c>
      <c r="P3" s="18" t="s">
        <v>6</v>
      </c>
    </row>
    <row r="4" spans="1:16" ht="12.75">
      <c r="A4" s="1"/>
      <c r="B4" s="51" t="s">
        <v>38</v>
      </c>
      <c r="C4" s="51"/>
      <c r="D4" s="52">
        <f>'open to buy'!D5</f>
        <v>66500</v>
      </c>
      <c r="E4" s="52">
        <f>'open to buy'!E5</f>
        <v>48000</v>
      </c>
      <c r="F4" s="52">
        <f>'open to buy'!F5</f>
        <v>50000</v>
      </c>
      <c r="G4" s="52">
        <f>'open to buy'!G5</f>
        <v>55300</v>
      </c>
      <c r="H4" s="52">
        <f>'open to buy'!H5</f>
        <v>69850</v>
      </c>
      <c r="I4" s="52">
        <f>'open to buy'!I5</f>
        <v>88855</v>
      </c>
      <c r="J4" s="52">
        <f>'open to buy'!J5</f>
        <v>42500</v>
      </c>
      <c r="K4" s="52">
        <f>'open to buy'!K5</f>
        <v>44650</v>
      </c>
      <c r="L4" s="52">
        <f>'open to buy'!L5</f>
        <v>51040</v>
      </c>
      <c r="M4" s="52">
        <f>'open to buy'!M5</f>
        <v>57000</v>
      </c>
      <c r="N4" s="52">
        <f>'open to buy'!N5</f>
        <v>55000</v>
      </c>
      <c r="O4" s="52">
        <f>'open to buy'!O5</f>
        <v>59800</v>
      </c>
      <c r="P4" s="53">
        <f>SUM(D4:O4)</f>
        <v>688495</v>
      </c>
    </row>
    <row r="5" spans="2:16" ht="12.75">
      <c r="B5" s="51" t="s">
        <v>39</v>
      </c>
      <c r="C5" s="51"/>
      <c r="D5" s="53">
        <f>D4*1.1</f>
        <v>73150</v>
      </c>
      <c r="E5" s="53">
        <f aca="true" t="shared" si="0" ref="E5:O5">E4*1.1</f>
        <v>52800.00000000001</v>
      </c>
      <c r="F5" s="53">
        <f t="shared" si="0"/>
        <v>55000.00000000001</v>
      </c>
      <c r="G5" s="53">
        <f t="shared" si="0"/>
        <v>60830.00000000001</v>
      </c>
      <c r="H5" s="53">
        <f t="shared" si="0"/>
        <v>76835</v>
      </c>
      <c r="I5" s="123">
        <f t="shared" si="0"/>
        <v>97740.50000000001</v>
      </c>
      <c r="J5" s="53">
        <f t="shared" si="0"/>
        <v>46750.00000000001</v>
      </c>
      <c r="K5" s="53">
        <f t="shared" si="0"/>
        <v>49115.00000000001</v>
      </c>
      <c r="L5" s="53">
        <f t="shared" si="0"/>
        <v>56144.00000000001</v>
      </c>
      <c r="M5" s="53">
        <f t="shared" si="0"/>
        <v>62700.00000000001</v>
      </c>
      <c r="N5" s="53">
        <f t="shared" si="0"/>
        <v>60500.00000000001</v>
      </c>
      <c r="O5" s="53">
        <f t="shared" si="0"/>
        <v>65780</v>
      </c>
      <c r="P5" s="123">
        <f>SUM(D5:O5)</f>
        <v>757344.5</v>
      </c>
    </row>
    <row r="6" spans="2:16" ht="12.75">
      <c r="B6" s="53" t="s">
        <v>43</v>
      </c>
      <c r="C6" s="53"/>
      <c r="D6" s="53">
        <f>'open to buy'!D6</f>
        <v>0</v>
      </c>
      <c r="E6" s="53">
        <f>'open to buy'!E6</f>
        <v>0</v>
      </c>
      <c r="F6" s="53">
        <f>'open to buy'!F6</f>
        <v>0</v>
      </c>
      <c r="G6" s="53">
        <f>'open to buy'!G6</f>
        <v>0</v>
      </c>
      <c r="H6" s="53">
        <f>'open to buy'!H6</f>
        <v>0</v>
      </c>
      <c r="I6" s="53">
        <f>'open to buy'!I6</f>
        <v>0</v>
      </c>
      <c r="J6" s="53">
        <f>'open to buy'!J6</f>
        <v>0</v>
      </c>
      <c r="K6" s="53">
        <f>'open to buy'!K6</f>
        <v>0</v>
      </c>
      <c r="L6" s="53">
        <f>'open to buy'!L6</f>
        <v>0</v>
      </c>
      <c r="M6" s="53">
        <f>'open to buy'!M6</f>
        <v>0</v>
      </c>
      <c r="N6" s="53">
        <f>'open to buy'!N6</f>
        <v>0</v>
      </c>
      <c r="O6" s="53">
        <f>'open to buy'!O6</f>
        <v>0</v>
      </c>
      <c r="P6" s="53">
        <f>SUM(D6:O6)</f>
        <v>0</v>
      </c>
    </row>
    <row r="7" spans="2:26" ht="12.7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2"/>
      <c r="P7" s="5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2" ht="12.75">
      <c r="B8" s="51" t="s">
        <v>21</v>
      </c>
      <c r="C8" s="53"/>
      <c r="D8" s="53">
        <f>Expenses!D30</f>
        <v>20630</v>
      </c>
      <c r="E8" s="53">
        <f>Expenses!E30</f>
        <v>20630</v>
      </c>
      <c r="F8" s="53">
        <f>Expenses!F30</f>
        <v>20630</v>
      </c>
      <c r="G8" s="53">
        <f>Expenses!G30</f>
        <v>20630</v>
      </c>
      <c r="H8" s="53">
        <f>Expenses!H30</f>
        <v>24030</v>
      </c>
      <c r="I8" s="53">
        <f>Expenses!I30</f>
        <v>21030</v>
      </c>
      <c r="J8" s="53">
        <f>Expenses!J30</f>
        <v>20630</v>
      </c>
      <c r="K8" s="53">
        <f>Expenses!K30</f>
        <v>20630</v>
      </c>
      <c r="L8" s="53">
        <f>Expenses!L30</f>
        <v>20630</v>
      </c>
      <c r="M8" s="53">
        <f>Expenses!M30</f>
        <v>20630</v>
      </c>
      <c r="N8" s="53">
        <f>Expenses!N30</f>
        <v>20630</v>
      </c>
      <c r="O8" s="53">
        <f>Expenses!O30</f>
        <v>21030</v>
      </c>
      <c r="P8" s="53">
        <f>SUM(D8:O8)</f>
        <v>251760</v>
      </c>
      <c r="V8" s="4"/>
    </row>
    <row r="9" spans="2:23" ht="12.75">
      <c r="B9" s="53" t="s">
        <v>20</v>
      </c>
      <c r="C9" s="53"/>
      <c r="D9" s="53">
        <f>Expenses!D31</f>
        <v>0</v>
      </c>
      <c r="E9" s="53">
        <f>Expenses!E31</f>
        <v>0</v>
      </c>
      <c r="F9" s="53">
        <f>Expenses!F31</f>
        <v>0</v>
      </c>
      <c r="G9" s="53">
        <f>Expenses!G31</f>
        <v>0</v>
      </c>
      <c r="H9" s="53">
        <f>Expenses!H31</f>
        <v>0</v>
      </c>
      <c r="I9" s="53">
        <f>Expenses!I31</f>
        <v>0</v>
      </c>
      <c r="J9" s="53">
        <f>Expenses!J31</f>
        <v>0</v>
      </c>
      <c r="K9" s="53">
        <f>Expenses!K31</f>
        <v>0</v>
      </c>
      <c r="L9" s="53">
        <f>Expenses!L31</f>
        <v>0</v>
      </c>
      <c r="M9" s="53">
        <f>Expenses!M31</f>
        <v>0</v>
      </c>
      <c r="N9" s="53">
        <f>Expenses!N31</f>
        <v>0</v>
      </c>
      <c r="O9" s="53">
        <f>Expenses!O31</f>
        <v>0</v>
      </c>
      <c r="P9" s="53">
        <f>SUM(D9:O9)</f>
        <v>0</v>
      </c>
      <c r="R9" s="66"/>
      <c r="S9" s="66"/>
      <c r="T9" s="66"/>
      <c r="U9" s="66"/>
      <c r="V9" s="66"/>
      <c r="W9" s="3"/>
    </row>
    <row r="10" spans="2:23" ht="12.75">
      <c r="B10" s="51" t="s">
        <v>67</v>
      </c>
      <c r="C10" s="53"/>
      <c r="D10" s="53">
        <f>Expenses!D33</f>
        <v>5000</v>
      </c>
      <c r="E10" s="53">
        <f>Expenses!E33</f>
        <v>1500</v>
      </c>
      <c r="F10" s="53">
        <f>Expenses!F33</f>
        <v>1500</v>
      </c>
      <c r="G10" s="53">
        <f>Expenses!G33</f>
        <v>1500</v>
      </c>
      <c r="H10" s="53">
        <f>Expenses!H33</f>
        <v>5000</v>
      </c>
      <c r="I10" s="53">
        <f>Expenses!I33</f>
        <v>1500</v>
      </c>
      <c r="J10" s="53">
        <f>Expenses!J33</f>
        <v>1500</v>
      </c>
      <c r="K10" s="53">
        <f>Expenses!K33</f>
        <v>8500</v>
      </c>
      <c r="L10" s="53">
        <f>Expenses!L33</f>
        <v>1500</v>
      </c>
      <c r="M10" s="53">
        <f>Expenses!M33</f>
        <v>1500</v>
      </c>
      <c r="N10" s="53">
        <f>Expenses!N33</f>
        <v>1500</v>
      </c>
      <c r="O10" s="53">
        <f>Expenses!O33</f>
        <v>1500</v>
      </c>
      <c r="P10" s="53">
        <f>SUM(D10:O10)</f>
        <v>32000</v>
      </c>
      <c r="R10" s="66"/>
      <c r="S10" s="66"/>
      <c r="T10" s="66"/>
      <c r="U10" s="66"/>
      <c r="V10" s="66"/>
      <c r="W10" s="3"/>
    </row>
    <row r="11" spans="2:23" ht="12.75">
      <c r="B11" s="52" t="s">
        <v>20</v>
      </c>
      <c r="C11" s="53"/>
      <c r="D11" s="53">
        <f>Expenses!D34</f>
        <v>0</v>
      </c>
      <c r="E11" s="53">
        <f>Expenses!E34</f>
        <v>0</v>
      </c>
      <c r="F11" s="53">
        <f>Expenses!F34</f>
        <v>0</v>
      </c>
      <c r="G11" s="53">
        <f>Expenses!G34</f>
        <v>0</v>
      </c>
      <c r="H11" s="53">
        <f>Expenses!H34</f>
        <v>0</v>
      </c>
      <c r="I11" s="53">
        <f>Expenses!I34</f>
        <v>0</v>
      </c>
      <c r="J11" s="53">
        <f>Expenses!J34</f>
        <v>0</v>
      </c>
      <c r="K11" s="53">
        <f>Expenses!K34</f>
        <v>0</v>
      </c>
      <c r="L11" s="53">
        <f>Expenses!L34</f>
        <v>0</v>
      </c>
      <c r="M11" s="53">
        <f>Expenses!M34</f>
        <v>0</v>
      </c>
      <c r="N11" s="53">
        <f>Expenses!N34</f>
        <v>0</v>
      </c>
      <c r="O11" s="53">
        <f>Expenses!O34</f>
        <v>0</v>
      </c>
      <c r="P11" s="53">
        <f>SUM(D11:O11)</f>
        <v>0</v>
      </c>
      <c r="R11" s="66"/>
      <c r="S11" s="66"/>
      <c r="T11" s="66"/>
      <c r="U11" s="66"/>
      <c r="V11" s="66"/>
      <c r="W11" s="3"/>
    </row>
    <row r="12" spans="2:22" ht="12.75">
      <c r="B12" s="51" t="s">
        <v>22</v>
      </c>
      <c r="C12" s="53"/>
      <c r="D12" s="53">
        <f>D5-D8-D10</f>
        <v>47520</v>
      </c>
      <c r="E12" s="53">
        <f aca="true" t="shared" si="1" ref="E12:O12">E5-E8-E10</f>
        <v>30670.000000000007</v>
      </c>
      <c r="F12" s="53">
        <f t="shared" si="1"/>
        <v>32870.00000000001</v>
      </c>
      <c r="G12" s="53">
        <f t="shared" si="1"/>
        <v>38700.00000000001</v>
      </c>
      <c r="H12" s="53">
        <f t="shared" si="1"/>
        <v>47805</v>
      </c>
      <c r="I12" s="123">
        <f t="shared" si="1"/>
        <v>75210.50000000001</v>
      </c>
      <c r="J12" s="53">
        <f t="shared" si="1"/>
        <v>24620.000000000007</v>
      </c>
      <c r="K12" s="53">
        <f t="shared" si="1"/>
        <v>19985.000000000007</v>
      </c>
      <c r="L12" s="53">
        <f t="shared" si="1"/>
        <v>34014.00000000001</v>
      </c>
      <c r="M12" s="53">
        <f t="shared" si="1"/>
        <v>40570.00000000001</v>
      </c>
      <c r="N12" s="53">
        <f t="shared" si="1"/>
        <v>38370.00000000001</v>
      </c>
      <c r="O12" s="53">
        <f t="shared" si="1"/>
        <v>43250</v>
      </c>
      <c r="P12" s="123">
        <f>P5-P8-P10</f>
        <v>473584.5</v>
      </c>
      <c r="R12" s="66"/>
      <c r="S12" s="67"/>
      <c r="T12" s="67"/>
      <c r="U12" s="67"/>
      <c r="V12" s="68"/>
    </row>
    <row r="13" spans="2:22" ht="12.75"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R13" s="66"/>
      <c r="S13" s="67"/>
      <c r="T13" s="67"/>
      <c r="U13" s="67"/>
      <c r="V13" s="67"/>
    </row>
    <row r="14" spans="2:16" ht="12.75">
      <c r="B14" s="20" t="s">
        <v>23</v>
      </c>
      <c r="C14" s="20"/>
      <c r="D14" s="20">
        <v>25000</v>
      </c>
      <c r="E14" s="21">
        <f>D17</f>
        <v>41800</v>
      </c>
      <c r="F14" s="21">
        <f aca="true" t="shared" si="2" ref="F14:O14">E17</f>
        <v>30305</v>
      </c>
      <c r="G14" s="21">
        <f t="shared" si="2"/>
        <v>32340</v>
      </c>
      <c r="H14" s="21">
        <f t="shared" si="2"/>
        <v>34177</v>
      </c>
      <c r="I14" s="21">
        <f t="shared" si="2"/>
        <v>41734</v>
      </c>
      <c r="J14" s="21">
        <f t="shared" si="2"/>
        <v>51811.100000000006</v>
      </c>
      <c r="K14" s="21">
        <f t="shared" si="2"/>
        <v>24805.100000000006</v>
      </c>
      <c r="L14" s="21">
        <f t="shared" si="2"/>
        <v>29106.100000000006</v>
      </c>
      <c r="M14" s="21">
        <f t="shared" si="2"/>
        <v>32340.100000000006</v>
      </c>
      <c r="N14" s="21">
        <f t="shared" si="2"/>
        <v>35810.600000000006</v>
      </c>
      <c r="O14" s="21">
        <f t="shared" si="2"/>
        <v>35573.600000000006</v>
      </c>
      <c r="P14" s="21">
        <f>D14</f>
        <v>25000</v>
      </c>
    </row>
    <row r="15" spans="2:16" ht="12.75">
      <c r="B15" s="22" t="s">
        <v>44</v>
      </c>
      <c r="C15" s="22"/>
      <c r="D15" s="23">
        <f>'open to buy'!D22*1.1</f>
        <v>41800</v>
      </c>
      <c r="E15" s="23">
        <f>'open to buy'!E22*1.1</f>
        <v>30305.000000000004</v>
      </c>
      <c r="F15" s="23">
        <f>'open to buy'!F22*1.1</f>
        <v>32340.000000000004</v>
      </c>
      <c r="G15" s="23">
        <f>'open to buy'!G22*1.1</f>
        <v>34177</v>
      </c>
      <c r="H15" s="23">
        <f>'open to buy'!H22*1.1</f>
        <v>41734</v>
      </c>
      <c r="I15" s="23">
        <f>'open to buy'!I22*1.1</f>
        <v>51811.100000000006</v>
      </c>
      <c r="J15" s="23">
        <f>'open to buy'!J22*1.1</f>
        <v>24805.000000000004</v>
      </c>
      <c r="K15" s="23">
        <f>'open to buy'!K22*1.1</f>
        <v>29106.000000000004</v>
      </c>
      <c r="L15" s="23">
        <f>'open to buy'!L22*1.1</f>
        <v>32340.000000000004</v>
      </c>
      <c r="M15" s="23">
        <f>'open to buy'!M22*1.1</f>
        <v>35810.5</v>
      </c>
      <c r="N15" s="23">
        <f>'open to buy'!N22*1.1</f>
        <v>35574</v>
      </c>
      <c r="O15" s="23">
        <f>'open to buy'!O22*1.1</f>
        <v>35810.5</v>
      </c>
      <c r="P15" s="21">
        <f>SUM(D15:O15)</f>
        <v>425613.10000000003</v>
      </c>
    </row>
    <row r="16" spans="2:16" ht="12.75">
      <c r="B16" s="22" t="s">
        <v>27</v>
      </c>
      <c r="C16" s="22"/>
      <c r="D16" s="23">
        <v>25000</v>
      </c>
      <c r="E16" s="23">
        <v>41800</v>
      </c>
      <c r="F16" s="23">
        <v>30305</v>
      </c>
      <c r="G16" s="23">
        <v>32340</v>
      </c>
      <c r="H16" s="23">
        <v>34177</v>
      </c>
      <c r="I16" s="23">
        <v>41734</v>
      </c>
      <c r="J16" s="23">
        <v>51811</v>
      </c>
      <c r="K16" s="23">
        <v>24805</v>
      </c>
      <c r="L16" s="23">
        <v>29106</v>
      </c>
      <c r="M16" s="23">
        <v>32340</v>
      </c>
      <c r="N16" s="23">
        <v>35811</v>
      </c>
      <c r="O16" s="23">
        <v>35574</v>
      </c>
      <c r="P16" s="20">
        <f>SUM(D16:O16)</f>
        <v>414803</v>
      </c>
    </row>
    <row r="17" spans="2:16" ht="12.75">
      <c r="B17" s="22" t="s">
        <v>24</v>
      </c>
      <c r="C17" s="20"/>
      <c r="D17" s="21">
        <f>SUM(D14+D15)-D16</f>
        <v>41800</v>
      </c>
      <c r="E17" s="21">
        <f aca="true" t="shared" si="3" ref="E17:O17">SUM(E14+E15)-E16</f>
        <v>30305</v>
      </c>
      <c r="F17" s="21">
        <f t="shared" si="3"/>
        <v>32340</v>
      </c>
      <c r="G17" s="21">
        <f t="shared" si="3"/>
        <v>34177</v>
      </c>
      <c r="H17" s="21">
        <f t="shared" si="3"/>
        <v>41734</v>
      </c>
      <c r="I17" s="21">
        <f t="shared" si="3"/>
        <v>51811.100000000006</v>
      </c>
      <c r="J17" s="21">
        <f t="shared" si="3"/>
        <v>24805.100000000006</v>
      </c>
      <c r="K17" s="21">
        <f t="shared" si="3"/>
        <v>29106.100000000006</v>
      </c>
      <c r="L17" s="21">
        <f t="shared" si="3"/>
        <v>32340.100000000006</v>
      </c>
      <c r="M17" s="21">
        <f t="shared" si="3"/>
        <v>35810.600000000006</v>
      </c>
      <c r="N17" s="21">
        <f t="shared" si="3"/>
        <v>35573.600000000006</v>
      </c>
      <c r="O17" s="21">
        <f t="shared" si="3"/>
        <v>35810.100000000006</v>
      </c>
      <c r="P17" s="21">
        <f>O14</f>
        <v>35573.600000000006</v>
      </c>
    </row>
    <row r="18" spans="2:16" ht="12.75">
      <c r="B18" s="24" t="s">
        <v>68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ht="12.75">
      <c r="B19" s="25" t="s">
        <v>23</v>
      </c>
      <c r="C19" s="25"/>
      <c r="D19" s="25">
        <v>3500</v>
      </c>
      <c r="E19" s="25">
        <f>D23</f>
        <v>26020</v>
      </c>
      <c r="F19" s="25">
        <f aca="true" t="shared" si="4" ref="F19:O19">E23</f>
        <v>14890</v>
      </c>
      <c r="G19" s="25">
        <f t="shared" si="4"/>
        <v>17455</v>
      </c>
      <c r="H19" s="25">
        <f t="shared" si="4"/>
        <v>23815</v>
      </c>
      <c r="I19" s="25">
        <f t="shared" si="4"/>
        <v>37443</v>
      </c>
      <c r="J19" s="55">
        <f t="shared" si="4"/>
        <v>70919.5</v>
      </c>
      <c r="K19" s="55">
        <f t="shared" si="4"/>
        <v>43728.5</v>
      </c>
      <c r="L19" s="55">
        <f t="shared" si="4"/>
        <v>38908.5</v>
      </c>
      <c r="M19" s="55">
        <f t="shared" si="4"/>
        <v>43816.5</v>
      </c>
      <c r="N19" s="55">
        <f t="shared" si="4"/>
        <v>52046.5</v>
      </c>
      <c r="O19" s="55">
        <f t="shared" si="4"/>
        <v>54605.5</v>
      </c>
      <c r="P19" s="25">
        <f>D19</f>
        <v>3500</v>
      </c>
    </row>
    <row r="20" spans="2:16" ht="12.75">
      <c r="B20" s="25" t="s">
        <v>45</v>
      </c>
      <c r="C20" s="25"/>
      <c r="D20" s="25">
        <f>D5</f>
        <v>73150</v>
      </c>
      <c r="E20" s="25">
        <f aca="true" t="shared" si="5" ref="E20:O20">E5</f>
        <v>52800.00000000001</v>
      </c>
      <c r="F20" s="25">
        <f t="shared" si="5"/>
        <v>55000.00000000001</v>
      </c>
      <c r="G20" s="25">
        <f t="shared" si="5"/>
        <v>60830.00000000001</v>
      </c>
      <c r="H20" s="25">
        <f t="shared" si="5"/>
        <v>76835</v>
      </c>
      <c r="I20" s="55">
        <f t="shared" si="5"/>
        <v>97740.50000000001</v>
      </c>
      <c r="J20" s="25">
        <f t="shared" si="5"/>
        <v>46750.00000000001</v>
      </c>
      <c r="K20" s="25">
        <f t="shared" si="5"/>
        <v>49115.00000000001</v>
      </c>
      <c r="L20" s="25">
        <f t="shared" si="5"/>
        <v>56144.00000000001</v>
      </c>
      <c r="M20" s="25">
        <f t="shared" si="5"/>
        <v>62700.00000000001</v>
      </c>
      <c r="N20" s="25">
        <f t="shared" si="5"/>
        <v>60500.00000000001</v>
      </c>
      <c r="O20" s="25">
        <f t="shared" si="5"/>
        <v>65780</v>
      </c>
      <c r="P20" s="55">
        <f>P5</f>
        <v>757344.5</v>
      </c>
    </row>
    <row r="21" spans="2:16" ht="12.75">
      <c r="B21" s="25" t="s">
        <v>25</v>
      </c>
      <c r="C21" s="25"/>
      <c r="D21" s="25">
        <f>SUM(D8+D10)</f>
        <v>25630</v>
      </c>
      <c r="E21" s="25">
        <f aca="true" t="shared" si="6" ref="E21:O21">SUM(E8+E10)</f>
        <v>22130</v>
      </c>
      <c r="F21" s="25">
        <f t="shared" si="6"/>
        <v>22130</v>
      </c>
      <c r="G21" s="25">
        <f t="shared" si="6"/>
        <v>22130</v>
      </c>
      <c r="H21" s="25">
        <f t="shared" si="6"/>
        <v>29030</v>
      </c>
      <c r="I21" s="25">
        <f t="shared" si="6"/>
        <v>22530</v>
      </c>
      <c r="J21" s="25">
        <f t="shared" si="6"/>
        <v>22130</v>
      </c>
      <c r="K21" s="25">
        <f t="shared" si="6"/>
        <v>29130</v>
      </c>
      <c r="L21" s="25">
        <f t="shared" si="6"/>
        <v>22130</v>
      </c>
      <c r="M21" s="25">
        <f t="shared" si="6"/>
        <v>22130</v>
      </c>
      <c r="N21" s="25">
        <f t="shared" si="6"/>
        <v>22130</v>
      </c>
      <c r="O21" s="25">
        <f t="shared" si="6"/>
        <v>22530</v>
      </c>
      <c r="P21" s="25">
        <f>SUM(P8+P10)</f>
        <v>283760</v>
      </c>
    </row>
    <row r="22" spans="2:16" ht="12.75">
      <c r="B22" s="25" t="s">
        <v>26</v>
      </c>
      <c r="C22" s="25"/>
      <c r="D22" s="55">
        <f>D16</f>
        <v>25000</v>
      </c>
      <c r="E22" s="25">
        <f aca="true" t="shared" si="7" ref="E22:P22">E16</f>
        <v>41800</v>
      </c>
      <c r="F22" s="25">
        <f t="shared" si="7"/>
        <v>30305</v>
      </c>
      <c r="G22" s="25">
        <f t="shared" si="7"/>
        <v>32340</v>
      </c>
      <c r="H22" s="25">
        <f t="shared" si="7"/>
        <v>34177</v>
      </c>
      <c r="I22" s="25">
        <f t="shared" si="7"/>
        <v>41734</v>
      </c>
      <c r="J22" s="25">
        <f t="shared" si="7"/>
        <v>51811</v>
      </c>
      <c r="K22" s="25">
        <f t="shared" si="7"/>
        <v>24805</v>
      </c>
      <c r="L22" s="25">
        <f t="shared" si="7"/>
        <v>29106</v>
      </c>
      <c r="M22" s="25">
        <f t="shared" si="7"/>
        <v>32340</v>
      </c>
      <c r="N22" s="25">
        <f t="shared" si="7"/>
        <v>35811</v>
      </c>
      <c r="O22" s="25">
        <f t="shared" si="7"/>
        <v>35574</v>
      </c>
      <c r="P22" s="25">
        <f t="shared" si="7"/>
        <v>414803</v>
      </c>
    </row>
    <row r="23" spans="2:16" ht="12.75">
      <c r="B23" s="25" t="s">
        <v>24</v>
      </c>
      <c r="C23" s="25"/>
      <c r="D23" s="55">
        <f>SUM(D19+D5)-(D21+D16)</f>
        <v>26020</v>
      </c>
      <c r="E23" s="55">
        <f>SUM(E19+E5)-(E21+E16)</f>
        <v>14890</v>
      </c>
      <c r="F23" s="55">
        <f aca="true" t="shared" si="8" ref="F23:O23">SUM(F19+F5)-(F21+F16)</f>
        <v>17455</v>
      </c>
      <c r="G23" s="55">
        <f t="shared" si="8"/>
        <v>23815</v>
      </c>
      <c r="H23" s="55">
        <f t="shared" si="8"/>
        <v>37443</v>
      </c>
      <c r="I23" s="55">
        <f t="shared" si="8"/>
        <v>70919.5</v>
      </c>
      <c r="J23" s="55">
        <f t="shared" si="8"/>
        <v>43728.5</v>
      </c>
      <c r="K23" s="55">
        <f t="shared" si="8"/>
        <v>38908.5</v>
      </c>
      <c r="L23" s="55">
        <f t="shared" si="8"/>
        <v>43816.5</v>
      </c>
      <c r="M23" s="55">
        <f t="shared" si="8"/>
        <v>52046.5</v>
      </c>
      <c r="N23" s="55">
        <f t="shared" si="8"/>
        <v>54605.5</v>
      </c>
      <c r="O23" s="55">
        <f t="shared" si="8"/>
        <v>62281.5</v>
      </c>
      <c r="P23" s="55">
        <f>O23</f>
        <v>62281.5</v>
      </c>
    </row>
    <row r="24" spans="2:16" ht="15.75">
      <c r="B24" s="26" t="s">
        <v>69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ht="12.75">
      <c r="B25" s="27"/>
      <c r="C25" s="27"/>
      <c r="D25" s="18" t="s">
        <v>74</v>
      </c>
      <c r="E25" s="18" t="s">
        <v>75</v>
      </c>
      <c r="F25" s="18" t="s">
        <v>76</v>
      </c>
      <c r="G25" s="18" t="s">
        <v>77</v>
      </c>
      <c r="H25" s="18" t="s">
        <v>78</v>
      </c>
      <c r="I25" s="18" t="s">
        <v>79</v>
      </c>
      <c r="J25" s="18" t="s">
        <v>80</v>
      </c>
      <c r="K25" s="18" t="s">
        <v>81</v>
      </c>
      <c r="L25" s="18" t="s">
        <v>82</v>
      </c>
      <c r="M25" s="18" t="s">
        <v>83</v>
      </c>
      <c r="N25" s="18" t="s">
        <v>5</v>
      </c>
      <c r="O25" s="18" t="s">
        <v>73</v>
      </c>
      <c r="P25" s="18" t="s">
        <v>6</v>
      </c>
    </row>
    <row r="26" spans="2:16" ht="12.75">
      <c r="B26" s="28" t="s">
        <v>28</v>
      </c>
      <c r="C26" s="27"/>
      <c r="D26" s="29">
        <f>D4</f>
        <v>66500</v>
      </c>
      <c r="E26" s="29">
        <f aca="true" t="shared" si="9" ref="E26:O26">E4</f>
        <v>48000</v>
      </c>
      <c r="F26" s="29">
        <f t="shared" si="9"/>
        <v>50000</v>
      </c>
      <c r="G26" s="29">
        <f t="shared" si="9"/>
        <v>55300</v>
      </c>
      <c r="H26" s="29">
        <f t="shared" si="9"/>
        <v>69850</v>
      </c>
      <c r="I26" s="29">
        <f t="shared" si="9"/>
        <v>88855</v>
      </c>
      <c r="J26" s="29">
        <f t="shared" si="9"/>
        <v>42500</v>
      </c>
      <c r="K26" s="29">
        <f t="shared" si="9"/>
        <v>44650</v>
      </c>
      <c r="L26" s="29">
        <f t="shared" si="9"/>
        <v>51040</v>
      </c>
      <c r="M26" s="29">
        <f t="shared" si="9"/>
        <v>57000</v>
      </c>
      <c r="N26" s="29">
        <f t="shared" si="9"/>
        <v>55000</v>
      </c>
      <c r="O26" s="29">
        <f t="shared" si="9"/>
        <v>59800</v>
      </c>
      <c r="P26" s="27">
        <f>P4</f>
        <v>688495</v>
      </c>
    </row>
    <row r="27" spans="2:16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ht="12.75">
      <c r="B28" s="28" t="s">
        <v>70</v>
      </c>
      <c r="C28" s="27"/>
      <c r="D28" s="30">
        <v>0.44</v>
      </c>
      <c r="E28" s="30">
        <v>0.44</v>
      </c>
      <c r="F28" s="30">
        <v>0.44</v>
      </c>
      <c r="G28" s="30">
        <v>0.44</v>
      </c>
      <c r="H28" s="30">
        <v>0.44</v>
      </c>
      <c r="I28" s="30">
        <v>0.44</v>
      </c>
      <c r="J28" s="30">
        <v>0.44</v>
      </c>
      <c r="K28" s="30">
        <v>0.44</v>
      </c>
      <c r="L28" s="30">
        <v>0.44</v>
      </c>
      <c r="M28" s="30">
        <v>0.44</v>
      </c>
      <c r="N28" s="30">
        <v>0.44</v>
      </c>
      <c r="O28" s="30">
        <v>0.44</v>
      </c>
      <c r="P28" s="64">
        <f>SUM(D28:O28)/12</f>
        <v>0.4400000000000001</v>
      </c>
    </row>
    <row r="29" spans="2:16" ht="12.75">
      <c r="B29" s="28" t="s">
        <v>29</v>
      </c>
      <c r="C29" s="27"/>
      <c r="D29" s="31">
        <f>D26*D28</f>
        <v>29260</v>
      </c>
      <c r="E29" s="31">
        <f aca="true" t="shared" si="10" ref="E29:O29">E26*E28</f>
        <v>21120</v>
      </c>
      <c r="F29" s="31">
        <f t="shared" si="10"/>
        <v>22000</v>
      </c>
      <c r="G29" s="31">
        <f t="shared" si="10"/>
        <v>24332</v>
      </c>
      <c r="H29" s="31">
        <f t="shared" si="10"/>
        <v>30734</v>
      </c>
      <c r="I29" s="31">
        <f t="shared" si="10"/>
        <v>39096.2</v>
      </c>
      <c r="J29" s="31">
        <f t="shared" si="10"/>
        <v>18700</v>
      </c>
      <c r="K29" s="31">
        <f t="shared" si="10"/>
        <v>19646</v>
      </c>
      <c r="L29" s="31">
        <f t="shared" si="10"/>
        <v>22457.6</v>
      </c>
      <c r="M29" s="31">
        <f t="shared" si="10"/>
        <v>25080</v>
      </c>
      <c r="N29" s="31">
        <f t="shared" si="10"/>
        <v>24200</v>
      </c>
      <c r="O29" s="31">
        <f t="shared" si="10"/>
        <v>26312</v>
      </c>
      <c r="P29" s="31">
        <f>SUM(D29:O29)</f>
        <v>302937.80000000005</v>
      </c>
    </row>
    <row r="30" spans="2:16" ht="12.7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ht="12.75">
      <c r="B31" s="28" t="s">
        <v>30</v>
      </c>
      <c r="C31" s="27"/>
      <c r="D31" s="27">
        <f>D8</f>
        <v>20630</v>
      </c>
      <c r="E31" s="27">
        <f aca="true" t="shared" si="11" ref="E31:O31">E8</f>
        <v>20630</v>
      </c>
      <c r="F31" s="27">
        <f t="shared" si="11"/>
        <v>20630</v>
      </c>
      <c r="G31" s="27">
        <f t="shared" si="11"/>
        <v>20630</v>
      </c>
      <c r="H31" s="27">
        <f t="shared" si="11"/>
        <v>24030</v>
      </c>
      <c r="I31" s="27">
        <f t="shared" si="11"/>
        <v>21030</v>
      </c>
      <c r="J31" s="27">
        <f t="shared" si="11"/>
        <v>20630</v>
      </c>
      <c r="K31" s="27">
        <f t="shared" si="11"/>
        <v>20630</v>
      </c>
      <c r="L31" s="27">
        <f t="shared" si="11"/>
        <v>20630</v>
      </c>
      <c r="M31" s="27">
        <f t="shared" si="11"/>
        <v>20630</v>
      </c>
      <c r="N31" s="27">
        <f t="shared" si="11"/>
        <v>20630</v>
      </c>
      <c r="O31" s="27">
        <f t="shared" si="11"/>
        <v>21030</v>
      </c>
      <c r="P31" s="27">
        <f>P8</f>
        <v>251760</v>
      </c>
    </row>
    <row r="32" spans="2:16" ht="12.75">
      <c r="B32" s="27"/>
      <c r="C32" s="27" t="s">
        <v>9</v>
      </c>
      <c r="D32" s="32">
        <f>SUM(D31/D26)</f>
        <v>0.31022556390977446</v>
      </c>
      <c r="E32" s="32">
        <f aca="true" t="shared" si="12" ref="E32:O32">SUM(E31/E26)</f>
        <v>0.4297916666666667</v>
      </c>
      <c r="F32" s="32">
        <f t="shared" si="12"/>
        <v>0.4126</v>
      </c>
      <c r="G32" s="32">
        <f t="shared" si="12"/>
        <v>0.37305605786618445</v>
      </c>
      <c r="H32" s="32">
        <f t="shared" si="12"/>
        <v>0.34402290622763065</v>
      </c>
      <c r="I32" s="32">
        <f t="shared" si="12"/>
        <v>0.23667773338585335</v>
      </c>
      <c r="J32" s="32">
        <f t="shared" si="12"/>
        <v>0.4854117647058824</v>
      </c>
      <c r="K32" s="32">
        <f t="shared" si="12"/>
        <v>0.4620380739081747</v>
      </c>
      <c r="L32" s="32">
        <f t="shared" si="12"/>
        <v>0.40419278996865204</v>
      </c>
      <c r="M32" s="32">
        <f t="shared" si="12"/>
        <v>0.3619298245614035</v>
      </c>
      <c r="N32" s="32">
        <f t="shared" si="12"/>
        <v>0.3750909090909091</v>
      </c>
      <c r="O32" s="32">
        <f t="shared" si="12"/>
        <v>0.35167224080267556</v>
      </c>
      <c r="P32" s="64">
        <f>SUM(D32:O32)/12</f>
        <v>0.37889246092448386</v>
      </c>
    </row>
    <row r="33" spans="2:16" ht="12.75">
      <c r="B33" s="28" t="s">
        <v>126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ht="12.75">
      <c r="B34" s="27"/>
      <c r="C34" s="27" t="s">
        <v>31</v>
      </c>
      <c r="D34" s="31">
        <f>D29-D31</f>
        <v>8630</v>
      </c>
      <c r="E34" s="31">
        <f aca="true" t="shared" si="13" ref="E34:O34">E29-E31</f>
        <v>490</v>
      </c>
      <c r="F34" s="31">
        <f t="shared" si="13"/>
        <v>1370</v>
      </c>
      <c r="G34" s="31">
        <f t="shared" si="13"/>
        <v>3702</v>
      </c>
      <c r="H34" s="31">
        <f t="shared" si="13"/>
        <v>6704</v>
      </c>
      <c r="I34" s="31">
        <f t="shared" si="13"/>
        <v>18066.199999999997</v>
      </c>
      <c r="J34" s="31">
        <f t="shared" si="13"/>
        <v>-1930</v>
      </c>
      <c r="K34" s="31">
        <f t="shared" si="13"/>
        <v>-984</v>
      </c>
      <c r="L34" s="31">
        <f t="shared" si="13"/>
        <v>1827.5999999999985</v>
      </c>
      <c r="M34" s="31">
        <f t="shared" si="13"/>
        <v>4450</v>
      </c>
      <c r="N34" s="31">
        <f t="shared" si="13"/>
        <v>3570</v>
      </c>
      <c r="O34" s="31">
        <f t="shared" si="13"/>
        <v>5282</v>
      </c>
      <c r="P34" s="31">
        <f>P29-P31</f>
        <v>51177.80000000005</v>
      </c>
    </row>
    <row r="35" spans="2:16" ht="12.75">
      <c r="B35" s="27"/>
      <c r="C35" s="27" t="s">
        <v>9</v>
      </c>
      <c r="D35" s="32">
        <f>SUM(D34/D26)</f>
        <v>0.12977443609022557</v>
      </c>
      <c r="E35" s="32">
        <f>SUM(E34/E26)</f>
        <v>0.010208333333333333</v>
      </c>
      <c r="F35" s="32">
        <f aca="true" t="shared" si="14" ref="F35:P35">SUM(F34/F26)</f>
        <v>0.0274</v>
      </c>
      <c r="G35" s="32">
        <f t="shared" si="14"/>
        <v>0.06694394213381555</v>
      </c>
      <c r="H35" s="32">
        <f t="shared" si="14"/>
        <v>0.09597709377236936</v>
      </c>
      <c r="I35" s="32">
        <f t="shared" si="14"/>
        <v>0.20332226661414662</v>
      </c>
      <c r="J35" s="32">
        <f t="shared" si="14"/>
        <v>-0.04541176470588235</v>
      </c>
      <c r="K35" s="32">
        <f t="shared" si="14"/>
        <v>-0.022038073908174693</v>
      </c>
      <c r="L35" s="32">
        <f t="shared" si="14"/>
        <v>0.03580721003134794</v>
      </c>
      <c r="M35" s="32">
        <f t="shared" si="14"/>
        <v>0.0780701754385965</v>
      </c>
      <c r="N35" s="32">
        <f t="shared" si="14"/>
        <v>0.0649090909090909</v>
      </c>
      <c r="O35" s="32">
        <f>SUM(O34/O26)</f>
        <v>0.08832775919732441</v>
      </c>
      <c r="P35" s="32">
        <f t="shared" si="14"/>
        <v>0.0743328564477593</v>
      </c>
    </row>
    <row r="43" ht="12.75">
      <c r="F43" s="6"/>
    </row>
  </sheetData>
  <printOptions gridLines="1"/>
  <pageMargins left="0" right="0" top="0.29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Terrill</dc:creator>
  <cp:keywords/>
  <dc:description/>
  <cp:lastModifiedBy>Nicola.Millard</cp:lastModifiedBy>
  <cp:lastPrinted>2009-03-26T06:07:25Z</cp:lastPrinted>
  <dcterms:created xsi:type="dcterms:W3CDTF">2003-09-24T04:17:42Z</dcterms:created>
  <dcterms:modified xsi:type="dcterms:W3CDTF">2009-05-24T23:07:26Z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