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34440" windowHeight="22660" tabRatio="831" activeTab="1"/>
  </bookViews>
  <sheets>
    <sheet name="Read me first" sheetId="1" r:id="rId1"/>
    <sheet name="Master Inputs Start here" sheetId="2" r:id="rId2"/>
    <sheet name="Historical Numbers" sheetId="3" r:id="rId3"/>
    <sheet name="Cross Holdings Valuation" sheetId="4" r:id="rId4"/>
    <sheet name="Business Breakdown" sheetId="5" r:id="rId5"/>
    <sheet name="Earnings Normalizer" sheetId="6" r:id="rId6"/>
    <sheet name="R&amp;D converter" sheetId="7" r:id="rId7"/>
    <sheet name="Operating lease converter" sheetId="8" r:id="rId8"/>
    <sheet name="Terminal Value" sheetId="9" r:id="rId9"/>
    <sheet name="Valuation Model" sheetId="10" r:id="rId10"/>
    <sheet name="Option Value" sheetId="11" r:id="rId11"/>
    <sheet name="Bottom-up Beta" sheetId="12" r:id="rId12"/>
    <sheet name="Ratings estimator" sheetId="13" r:id="rId13"/>
    <sheet name="Industry averages" sheetId="14" r:id="rId14"/>
  </sheets>
  <definedNames/>
  <calcPr fullCalcOnLoad="1" iterate="1" iterateCount="100" iterateDelta="0.001"/>
</workbook>
</file>

<file path=xl/comments10.xml><?xml version="1.0" encoding="utf-8"?>
<comments xmlns="http://schemas.openxmlformats.org/spreadsheetml/2006/main">
  <authors>
    <author>Aswath Damodaran</author>
  </authors>
  <commentList>
    <comment ref="A71" authorId="0">
      <text>
        <r>
          <rPr>
            <b/>
            <sz val="9"/>
            <rFont val="Geneva"/>
            <family val="0"/>
          </rPr>
          <t>Aswath Damodaran:</t>
        </r>
        <r>
          <rPr>
            <sz val="9"/>
            <rFont val="Geneva"/>
            <family val="0"/>
          </rPr>
          <t xml:space="preserve">
</t>
        </r>
      </text>
    </comment>
  </commentList>
</comments>
</file>

<file path=xl/comments2.xml><?xml version="1.0" encoding="utf-8"?>
<comments xmlns="http://schemas.openxmlformats.org/spreadsheetml/2006/main">
  <authors>
    <author>Aswath Damodaran</author>
  </authors>
  <commentList>
    <comment ref="B4" authorId="0">
      <text>
        <r>
          <rPr>
            <b/>
            <sz val="9"/>
            <rFont val="Geneva"/>
            <family val="0"/>
          </rPr>
          <t>Aswath Damodaran:</t>
        </r>
        <r>
          <rPr>
            <sz val="9"/>
            <rFont val="Geneva"/>
            <family val="0"/>
          </rPr>
          <t xml:space="preserve">
For many high tech and drug companies, R&amp;D is really the big cap ex. Unfortunately, accounting convention leads to their being treated as operating expenses. If you answer "Yes", I will try to capitalize R&amp;D and adjust EBIT, but you will need to go to the R&amp;D converted worksheet and input your firm's numbers.</t>
        </r>
      </text>
    </comment>
    <comment ref="B5" authorId="0">
      <text>
        <r>
          <rPr>
            <b/>
            <sz val="9"/>
            <rFont val="Geneva"/>
            <family val="0"/>
          </rPr>
          <t>Aswath Damodaran:</t>
        </r>
        <r>
          <rPr>
            <sz val="9"/>
            <rFont val="Geneva"/>
            <family val="0"/>
          </rPr>
          <t xml:space="preserve">
Operating leases are similar to financial expenses. If you say "yes" here, I will convert operating leases, but you have to input the numbers for your firm in the operating lease worksheet.</t>
        </r>
      </text>
    </comment>
    <comment ref="B6" authorId="0">
      <text>
        <r>
          <rPr>
            <b/>
            <sz val="9"/>
            <rFont val="Geneva"/>
            <family val="0"/>
          </rPr>
          <t>Aswath Damodaran:</t>
        </r>
        <r>
          <rPr>
            <sz val="9"/>
            <rFont val="Geneva"/>
            <family val="0"/>
          </rPr>
          <t xml:space="preserve">
If you have a firm with negative operating income, or operating income much lower than that earned in previous years, answer yes.</t>
        </r>
      </text>
    </comment>
    <comment ref="B10" authorId="0">
      <text>
        <r>
          <rPr>
            <b/>
            <sz val="9"/>
            <rFont val="Geneva"/>
            <family val="0"/>
          </rPr>
          <t>Aswath Damodaran:</t>
        </r>
        <r>
          <rPr>
            <sz val="9"/>
            <rFont val="Geneva"/>
            <family val="0"/>
          </rPr>
          <t xml:space="preserve">
Enter the current EBIT for the firm. If your current EBIT is negative, you will have to normalize EBIT.</t>
        </r>
      </text>
    </comment>
    <comment ref="B11" authorId="0">
      <text>
        <r>
          <rPr>
            <b/>
            <sz val="9"/>
            <rFont val="Geneva"/>
            <family val="0"/>
          </rPr>
          <t>Aswath Damodaran:</t>
        </r>
        <r>
          <rPr>
            <sz val="9"/>
            <rFont val="Geneva"/>
            <family val="0"/>
          </rPr>
          <t xml:space="preserve">
Enter the total interest expenses, corresponding to the dollar debt that you enter below.</t>
        </r>
      </text>
    </comment>
    <comment ref="B12" authorId="0">
      <text>
        <r>
          <rPr>
            <b/>
            <sz val="9"/>
            <rFont val="Geneva"/>
            <family val="0"/>
          </rPr>
          <t>Aswath Damodaran:</t>
        </r>
        <r>
          <rPr>
            <sz val="9"/>
            <rFont val="Geneva"/>
            <family val="0"/>
          </rPr>
          <t xml:space="preserve">
Enter the current capital expenditures, including acquisitions made. You might want to normalize this, if it is volatile.</t>
        </r>
      </text>
    </comment>
    <comment ref="B13" authorId="0">
      <text>
        <r>
          <rPr>
            <b/>
            <sz val="9"/>
            <rFont val="Geneva"/>
            <family val="0"/>
          </rPr>
          <t>Aswath Damodaran:</t>
        </r>
        <r>
          <rPr>
            <sz val="9"/>
            <rFont val="Geneva"/>
            <family val="0"/>
          </rPr>
          <t xml:space="preserve">
Enter the aggreate depreciation and amortization claimed by the firm.</t>
        </r>
      </text>
    </comment>
    <comment ref="B15" authorId="0">
      <text>
        <r>
          <rPr>
            <b/>
            <sz val="9"/>
            <rFont val="Geneva"/>
            <family val="0"/>
          </rPr>
          <t>Aswath Damodaran:</t>
        </r>
        <r>
          <rPr>
            <sz val="9"/>
            <rFont val="Geneva"/>
            <family val="0"/>
          </rPr>
          <t xml:space="preserve">
This is the tax rate on your last dollar of income. It should come from the tax code of the country in which your operate.</t>
        </r>
      </text>
    </comment>
    <comment ref="B16" authorId="0">
      <text>
        <r>
          <rPr>
            <b/>
            <sz val="9"/>
            <rFont val="Geneva"/>
            <family val="0"/>
          </rPr>
          <t>Aswath Damodaran:</t>
        </r>
        <r>
          <rPr>
            <sz val="9"/>
            <rFont val="Geneva"/>
            <family val="0"/>
          </rPr>
          <t xml:space="preserve">
Enter aggregate revenues during the year.</t>
        </r>
      </text>
    </comment>
    <comment ref="B17" authorId="0">
      <text>
        <r>
          <rPr>
            <b/>
            <sz val="9"/>
            <rFont val="Geneva"/>
            <family val="0"/>
          </rPr>
          <t>Aswath Damodaran:</t>
        </r>
        <r>
          <rPr>
            <sz val="9"/>
            <rFont val="Geneva"/>
            <family val="0"/>
          </rPr>
          <t xml:space="preserve">
Non-cash WC = Inventory + Acc Rec - Acc Payable</t>
        </r>
      </text>
    </comment>
    <comment ref="B18" authorId="0">
      <text>
        <r>
          <rPr>
            <b/>
            <sz val="9"/>
            <rFont val="Geneva"/>
            <family val="0"/>
          </rPr>
          <t>Aswath Damodaran:</t>
        </r>
        <r>
          <rPr>
            <sz val="9"/>
            <rFont val="Geneva"/>
            <family val="0"/>
          </rPr>
          <t xml:space="preserve">
Enter the change in non-cash working capital from last year to this year.</t>
        </r>
      </text>
    </comment>
    <comment ref="B19" authorId="0">
      <text>
        <r>
          <rPr>
            <b/>
            <sz val="9"/>
            <rFont val="Geneva"/>
            <family val="0"/>
          </rPr>
          <t>Aswath Damodaran:</t>
        </r>
        <r>
          <rPr>
            <sz val="9"/>
            <rFont val="Geneva"/>
            <family val="0"/>
          </rPr>
          <t xml:space="preserve">
Enter total interest-bearing debt. This should include both short term and long term debt. If you have convertible debt, enter only debt portion here. (The rest has to go into equity)</t>
        </r>
      </text>
    </comment>
    <comment ref="C19" authorId="0">
      <text>
        <r>
          <rPr>
            <b/>
            <sz val="9"/>
            <rFont val="Geneva"/>
            <family val="0"/>
          </rPr>
          <t>Aswath Damodaran:</t>
        </r>
        <r>
          <rPr>
            <sz val="9"/>
            <rFont val="Geneva"/>
            <family val="0"/>
          </rPr>
          <t xml:space="preserve">
I use the book value of debt from the end of last year to compute return on capital.</t>
        </r>
      </text>
    </comment>
    <comment ref="B20" authorId="0">
      <text>
        <r>
          <rPr>
            <b/>
            <sz val="9"/>
            <rFont val="Geneva"/>
            <family val="0"/>
          </rPr>
          <t>Aswath Damodaran:</t>
        </r>
        <r>
          <rPr>
            <sz val="9"/>
            <rFont val="Geneva"/>
            <family val="0"/>
          </rPr>
          <t xml:space="preserve">
Enter the total shareholders equity.</t>
        </r>
      </text>
    </comment>
    <comment ref="C20" authorId="0">
      <text>
        <r>
          <rPr>
            <b/>
            <sz val="9"/>
            <rFont val="Geneva"/>
            <family val="0"/>
          </rPr>
          <t>Aswath Damodaran:</t>
        </r>
        <r>
          <rPr>
            <sz val="9"/>
            <rFont val="Geneva"/>
            <family val="0"/>
          </rPr>
          <t xml:space="preserve">
I use book value of equity from end of previous year to compute return on equity.</t>
        </r>
      </text>
    </comment>
    <comment ref="B22" authorId="0">
      <text>
        <r>
          <rPr>
            <b/>
            <sz val="9"/>
            <rFont val="Geneva"/>
            <family val="0"/>
          </rPr>
          <t>Aswath Damodaran:</t>
        </r>
        <r>
          <rPr>
            <sz val="9"/>
            <rFont val="Geneva"/>
            <family val="0"/>
          </rPr>
          <t xml:space="preserve">
Enter the current value of cash and marketable securites</t>
        </r>
      </text>
    </comment>
    <comment ref="B23" authorId="0">
      <text>
        <r>
          <rPr>
            <b/>
            <sz val="9"/>
            <rFont val="Geneva"/>
            <family val="0"/>
          </rPr>
          <t>Aswath Damodaran:</t>
        </r>
        <r>
          <rPr>
            <sz val="9"/>
            <rFont val="Geneva"/>
            <family val="0"/>
          </rPr>
          <t xml:space="preserve">
Enter the estimated market value of any other non-operating assets, including minority holdings in subsidiaries.</t>
        </r>
      </text>
    </comment>
    <comment ref="B27" authorId="0">
      <text>
        <r>
          <rPr>
            <b/>
            <sz val="9"/>
            <rFont val="Geneva"/>
            <family val="0"/>
          </rPr>
          <t>Aswath Damodaran:</t>
        </r>
        <r>
          <rPr>
            <sz val="9"/>
            <rFont val="Geneva"/>
            <family val="0"/>
          </rPr>
          <t xml:space="preserve">
Enter Yes or No. If yes, enter the inputs below for both equity and debt.</t>
        </r>
      </text>
    </comment>
    <comment ref="B29" authorId="0">
      <text>
        <r>
          <rPr>
            <b/>
            <sz val="9"/>
            <rFont val="Geneva"/>
            <family val="0"/>
          </rPr>
          <t>Aswath Damodaran:</t>
        </r>
        <r>
          <rPr>
            <sz val="9"/>
            <rFont val="Geneva"/>
            <family val="0"/>
          </rPr>
          <t xml:space="preserve">
Enter the current market price. If this is a private firm, leave blank.</t>
        </r>
      </text>
    </comment>
    <comment ref="B30" authorId="0">
      <text>
        <r>
          <rPr>
            <b/>
            <sz val="9"/>
            <rFont val="Geneva"/>
            <family val="0"/>
          </rPr>
          <t>Aswath Damodaran:</t>
        </r>
        <r>
          <rPr>
            <sz val="9"/>
            <rFont val="Geneva"/>
            <family val="0"/>
          </rPr>
          <t xml:space="preserve">
Enter the primary number of shares outstanding.</t>
        </r>
      </text>
    </comment>
    <comment ref="B31" authorId="0">
      <text>
        <r>
          <rPr>
            <b/>
            <sz val="9"/>
            <rFont val="Geneva"/>
            <family val="0"/>
          </rPr>
          <t>Aswath Damodaran:</t>
        </r>
        <r>
          <rPr>
            <sz val="9"/>
            <rFont val="Geneva"/>
            <family val="0"/>
          </rPr>
          <t xml:space="preserve">
If you can estimate the market value of the debt (not including operating leases), input the number here. If not, re-enter the book value from above.</t>
        </r>
      </text>
    </comment>
    <comment ref="B33" authorId="0">
      <text>
        <r>
          <rPr>
            <b/>
            <sz val="9"/>
            <rFont val="Geneva"/>
            <family val="0"/>
          </rPr>
          <t>Aswath Damodaran:</t>
        </r>
        <r>
          <rPr>
            <sz val="9"/>
            <rFont val="Geneva"/>
            <family val="0"/>
          </rPr>
          <t xml:space="preserve">
You should almost never use the book value debt ratio. You can try this, if you want, to see how much value will shift.</t>
        </r>
      </text>
    </comment>
    <comment ref="B34" authorId="0">
      <text>
        <r>
          <rPr>
            <b/>
            <sz val="9"/>
            <rFont val="Geneva"/>
            <family val="0"/>
          </rPr>
          <t>Aswath Damodaran:</t>
        </r>
        <r>
          <rPr>
            <sz val="9"/>
            <rFont val="Geneva"/>
            <family val="0"/>
          </rPr>
          <t xml:space="preserve">
For a private firm, you can try using the industry average debt ratio to compute cost of capital.</t>
        </r>
      </text>
    </comment>
    <comment ref="B37" authorId="0">
      <text>
        <r>
          <rPr>
            <b/>
            <sz val="9"/>
            <rFont val="Geneva"/>
            <family val="0"/>
          </rPr>
          <t>Aswath Damodaran:</t>
        </r>
        <r>
          <rPr>
            <sz val="9"/>
            <rFont val="Geneva"/>
            <family val="0"/>
          </rPr>
          <t xml:space="preserve">
Enter the current long term government bond rate (of the currency in which your cashflows are in.</t>
        </r>
      </text>
    </comment>
    <comment ref="B39" authorId="0">
      <text>
        <r>
          <rPr>
            <b/>
            <sz val="9"/>
            <rFont val="Geneva"/>
            <family val="0"/>
          </rPr>
          <t>Aswath Damodaran:</t>
        </r>
        <r>
          <rPr>
            <sz val="9"/>
            <rFont val="Geneva"/>
            <family val="0"/>
          </rPr>
          <t xml:space="preserve">
Enter the risk premium for equities over riskfree investments. You can use an implied or historical premium.</t>
        </r>
      </text>
    </comment>
    <comment ref="B43" authorId="0">
      <text>
        <r>
          <rPr>
            <b/>
            <sz val="9"/>
            <rFont val="Geneva"/>
            <family val="0"/>
          </rPr>
          <t>Aswath Damodaran:</t>
        </r>
        <r>
          <rPr>
            <sz val="9"/>
            <rFont val="Geneva"/>
            <family val="0"/>
          </rPr>
          <t xml:space="preserve">
If your firm does not have rating, has multiple ratings or you do not trust the rating, answer Yes.</t>
        </r>
      </text>
    </comment>
    <comment ref="B44" authorId="0">
      <text>
        <r>
          <rPr>
            <b/>
            <sz val="9"/>
            <rFont val="Geneva"/>
            <family val="0"/>
          </rPr>
          <t>Aswath Damodaran:</t>
        </r>
        <r>
          <rPr>
            <sz val="9"/>
            <rFont val="Geneva"/>
            <family val="0"/>
          </rPr>
          <t xml:space="preserve">
1: Large or stable firm
2. Small or risky firm
3: Financial Service firm</t>
        </r>
      </text>
    </comment>
    <comment ref="B46" authorId="0">
      <text>
        <r>
          <rPr>
            <b/>
            <sz val="9"/>
            <rFont val="Geneva"/>
            <family val="0"/>
          </rPr>
          <t>Aswath Damodaran:</t>
        </r>
        <r>
          <rPr>
            <sz val="9"/>
            <rFont val="Geneva"/>
            <family val="0"/>
          </rPr>
          <t xml:space="preserve">
This is the current pre-tax cost of debt based upon the rating.</t>
        </r>
      </text>
    </comment>
    <comment ref="B49" authorId="0">
      <text>
        <r>
          <rPr>
            <b/>
            <sz val="9"/>
            <rFont val="Geneva"/>
            <family val="0"/>
          </rPr>
          <t>Aswath Damodaran:</t>
        </r>
        <r>
          <rPr>
            <sz val="9"/>
            <rFont val="Geneva"/>
            <family val="0"/>
          </rPr>
          <t xml:space="preserve">
If you have management options, warrants or convertibles outstanding, enter "Yes".</t>
        </r>
      </text>
    </comment>
    <comment ref="B50" authorId="0">
      <text>
        <r>
          <rPr>
            <b/>
            <sz val="9"/>
            <rFont val="Geneva"/>
            <family val="0"/>
          </rPr>
          <t>Aswath Damodaran:</t>
        </r>
        <r>
          <rPr>
            <sz val="9"/>
            <rFont val="Geneva"/>
            <family val="0"/>
          </rPr>
          <t xml:space="preserve">
Enter the number of shares that these options are entitled to.</t>
        </r>
      </text>
    </comment>
    <comment ref="B51" authorId="0">
      <text>
        <r>
          <rPr>
            <b/>
            <sz val="9"/>
            <rFont val="Geneva"/>
            <family val="0"/>
          </rPr>
          <t>Aswath Damodaran:</t>
        </r>
        <r>
          <rPr>
            <sz val="9"/>
            <rFont val="Geneva"/>
            <family val="0"/>
          </rPr>
          <t xml:space="preserve">
Enter the weighted (by number of options) exercise price on options.</t>
        </r>
      </text>
    </comment>
    <comment ref="B52" authorId="0">
      <text>
        <r>
          <rPr>
            <b/>
            <sz val="9"/>
            <rFont val="Geneva"/>
            <family val="0"/>
          </rPr>
          <t>Aswath Damodaran:</t>
        </r>
        <r>
          <rPr>
            <sz val="9"/>
            <rFont val="Geneva"/>
            <family val="0"/>
          </rPr>
          <t xml:space="preserve">
Enter the weighted (by number of options) maturity of the options</t>
        </r>
      </text>
    </comment>
    <comment ref="B53" authorId="0">
      <text>
        <r>
          <rPr>
            <b/>
            <sz val="9"/>
            <rFont val="Geneva"/>
            <family val="0"/>
          </rPr>
          <t>Aswath Damodaran:</t>
        </r>
        <r>
          <rPr>
            <sz val="9"/>
            <rFont val="Geneva"/>
            <family val="0"/>
          </rPr>
          <t xml:space="preserve">
Enter the standard deviation in the stock price. The industry average standard deviation is in the industry average worksheet.</t>
        </r>
      </text>
    </comment>
    <comment ref="B58" authorId="0">
      <text>
        <r>
          <rPr>
            <b/>
            <sz val="9"/>
            <rFont val="Geneva"/>
            <family val="0"/>
          </rPr>
          <t>Aswath Damodaran:</t>
        </r>
        <r>
          <rPr>
            <sz val="9"/>
            <rFont val="Geneva"/>
            <family val="0"/>
          </rPr>
          <t xml:space="preserve">
Enter the length of period for which your firm will be able to grow at a rate higher than the economy. (Restricted to 15 years)</t>
        </r>
      </text>
    </comment>
    <comment ref="B59" authorId="0">
      <text>
        <r>
          <rPr>
            <b/>
            <sz val="9"/>
            <rFont val="Geneva"/>
            <family val="0"/>
          </rPr>
          <t xml:space="preserve">Aswath Damodaran:
</t>
        </r>
        <r>
          <rPr>
            <sz val="9"/>
            <rFont val="Geneva"/>
            <family val="0"/>
          </rPr>
          <t>Enter the current beta for the firm. Use the bottom-up beta, if you can get it. For a private firm, use bottom-up beta.</t>
        </r>
      </text>
    </comment>
    <comment ref="B67" authorId="0">
      <text>
        <r>
          <rPr>
            <b/>
            <sz val="9"/>
            <rFont val="Geneva"/>
            <family val="0"/>
          </rPr>
          <t>Aswath Damodaran:</t>
        </r>
        <r>
          <rPr>
            <sz val="9"/>
            <rFont val="Geneva"/>
            <family val="0"/>
          </rPr>
          <t xml:space="preserve">
If you answer yes, 
g = ROC * Reinv Rate
This is the most consistent way of estimating growth in valuation.</t>
        </r>
      </text>
    </comment>
    <comment ref="B68" authorId="0">
      <text>
        <r>
          <rPr>
            <b/>
            <sz val="9"/>
            <rFont val="Geneva"/>
            <family val="0"/>
          </rPr>
          <t>Aswath Damodaran:</t>
        </r>
        <r>
          <rPr>
            <sz val="9"/>
            <rFont val="Geneva"/>
            <family val="0"/>
          </rPr>
          <t xml:space="preserve">
This can be an external estimate of growth (from analysts) or a historical growth rate in earnings.</t>
        </r>
      </text>
    </comment>
    <comment ref="B70" authorId="0">
      <text>
        <r>
          <rPr>
            <b/>
            <sz val="9"/>
            <rFont val="Geneva"/>
            <family val="0"/>
          </rPr>
          <t>Aswath Damodaran:</t>
        </r>
        <r>
          <rPr>
            <sz val="9"/>
            <rFont val="Geneva"/>
            <family val="0"/>
          </rPr>
          <t xml:space="preserve">
DO NOT INPUT. This is estimated using your inputs from above.</t>
        </r>
      </text>
    </comment>
    <comment ref="B71" authorId="0">
      <text>
        <r>
          <rPr>
            <b/>
            <sz val="9"/>
            <rFont val="Geneva"/>
            <family val="0"/>
          </rPr>
          <t>Aswath Damodaran:</t>
        </r>
        <r>
          <rPr>
            <sz val="9"/>
            <rFont val="Geneva"/>
            <family val="0"/>
          </rPr>
          <t xml:space="preserve">
DO NOT INPUT. This is based upon your inputs above.</t>
        </r>
      </text>
    </comment>
    <comment ref="B76" authorId="0">
      <text>
        <r>
          <rPr>
            <b/>
            <sz val="9"/>
            <rFont val="Geneva"/>
            <family val="0"/>
          </rPr>
          <t>Aswath Damodaran:</t>
        </r>
        <r>
          <rPr>
            <sz val="9"/>
            <rFont val="Geneva"/>
            <family val="0"/>
          </rPr>
          <t xml:space="preserve">
If you answer yes, I will adjust the cost of capital and the reinvestment rate to stable growth levels gradually during the second half of your high growth phase.</t>
        </r>
      </text>
    </comment>
    <comment ref="B79" authorId="0">
      <text>
        <r>
          <rPr>
            <b/>
            <sz val="9"/>
            <rFont val="Geneva"/>
            <family val="0"/>
          </rPr>
          <t>Aswath Damodaran:</t>
        </r>
        <r>
          <rPr>
            <sz val="9"/>
            <rFont val="Geneva"/>
            <family val="0"/>
          </rPr>
          <t xml:space="preserve">
This is a growth rate that is sustainable forever. It should be less than or equal to the growth rate of the economy (defined in real or nominal terms)</t>
        </r>
      </text>
    </comment>
    <comment ref="B80" authorId="0">
      <text>
        <r>
          <rPr>
            <b/>
            <sz val="9"/>
            <rFont val="Geneva"/>
            <family val="0"/>
          </rPr>
          <t>Aswath Damodaran:</t>
        </r>
        <r>
          <rPr>
            <sz val="9"/>
            <rFont val="Geneva"/>
            <family val="0"/>
          </rPr>
          <t xml:space="preserve">
In stable growth, this number should be between 0.8 and 1.2. If you have a high beta firm, move it down to 1.2. If you have a low beta firm move to 0.8. (I have set up an if statement to do this, but override it, at your discretion.)</t>
        </r>
      </text>
    </comment>
    <comment ref="B81" authorId="0">
      <text>
        <r>
          <rPr>
            <b/>
            <sz val="9"/>
            <rFont val="Geneva"/>
            <family val="0"/>
          </rPr>
          <t>Aswath Damodaran:</t>
        </r>
        <r>
          <rPr>
            <sz val="9"/>
            <rFont val="Geneva"/>
            <family val="0"/>
          </rPr>
          <t xml:space="preserve">
I have set it equal to your high growth input. You can override it and reset it.</t>
        </r>
      </text>
    </comment>
    <comment ref="B82" authorId="0">
      <text>
        <r>
          <rPr>
            <b/>
            <sz val="9"/>
            <rFont val="Geneva"/>
            <family val="0"/>
          </rPr>
          <t>Aswath Damodaran:</t>
        </r>
        <r>
          <rPr>
            <sz val="9"/>
            <rFont val="Geneva"/>
            <family val="0"/>
          </rPr>
          <t xml:space="preserve">
I have set it equal to your high growth input. You can override it and reset it.</t>
        </r>
      </text>
    </comment>
    <comment ref="B83" authorId="0">
      <text>
        <r>
          <rPr>
            <b/>
            <sz val="9"/>
            <rFont val="Geneva"/>
            <family val="0"/>
          </rPr>
          <t>Aswath Damodaran:</t>
        </r>
        <r>
          <rPr>
            <sz val="9"/>
            <rFont val="Geneva"/>
            <family val="0"/>
          </rPr>
          <t xml:space="preserve">
I have set it equal to your high growth input. You can override it and reset it.</t>
        </r>
      </text>
    </comment>
    <comment ref="B84" authorId="0">
      <text>
        <r>
          <rPr>
            <b/>
            <sz val="9"/>
            <rFont val="Geneva"/>
            <family val="0"/>
          </rPr>
          <t>Aswath Damodaran:</t>
        </r>
        <r>
          <rPr>
            <sz val="9"/>
            <rFont val="Geneva"/>
            <family val="0"/>
          </rPr>
          <t xml:space="preserve">
I have set it equal to your high growth input. You can override it and reset it.</t>
        </r>
      </text>
    </comment>
    <comment ref="B86" authorId="0">
      <text>
        <r>
          <rPr>
            <b/>
            <sz val="9"/>
            <rFont val="Geneva"/>
            <family val="0"/>
          </rPr>
          <t>Aswath Damodaran:</t>
        </r>
        <r>
          <rPr>
            <sz val="9"/>
            <rFont val="Geneva"/>
            <family val="0"/>
          </rPr>
          <t xml:space="preserve">
If you say Yes, I will compute your reinvestment rate in the terminal year to be g/ROC</t>
        </r>
      </text>
    </comment>
    <comment ref="B87" authorId="0">
      <text>
        <r>
          <rPr>
            <b/>
            <sz val="9"/>
            <rFont val="Geneva"/>
            <family val="0"/>
          </rPr>
          <t>Aswath Damodaran:</t>
        </r>
        <r>
          <rPr>
            <sz val="9"/>
            <rFont val="Geneva"/>
            <family val="0"/>
          </rPr>
          <t xml:space="preserve">
Enter one of the following:
1. Firm's current ROC, if those returns are sustainable in the long term.,
2. Industry average ROC, if you expect firm to approach industry norms
3. Firm's own cost on capital, if competition will drive out excess returns.
As a default, I have set it equal to the cost on capital during the high growth period, but you can override it.</t>
        </r>
      </text>
    </comment>
    <comment ref="B88" authorId="0">
      <text>
        <r>
          <rPr>
            <b/>
            <sz val="9"/>
            <rFont val="Geneva"/>
            <family val="0"/>
          </rPr>
          <t>Aswath Damodaran:</t>
        </r>
        <r>
          <rPr>
            <sz val="9"/>
            <rFont val="Geneva"/>
            <family val="0"/>
          </rPr>
          <t xml:space="preserve">
Enter the industry average cap ex/depreciation ratio. Do not set below 100%. That will make your net cap ex negati ve.</t>
        </r>
      </text>
    </comment>
    <comment ref="B54" authorId="0">
      <text>
        <r>
          <rPr>
            <b/>
            <sz val="9"/>
            <rFont val="Geneva"/>
            <family val="0"/>
          </rPr>
          <t>Aswath Damodaran:</t>
        </r>
        <r>
          <rPr>
            <sz val="9"/>
            <rFont val="Geneva"/>
            <family val="0"/>
          </rPr>
          <t xml:space="preserve">
If you want to use the current stock price enter P. If you want to use your estimated value per share enter V.</t>
        </r>
      </text>
    </comment>
    <comment ref="B60" authorId="0">
      <text>
        <r>
          <rPr>
            <b/>
            <sz val="9"/>
            <rFont val="Geneva"/>
            <family val="0"/>
          </rPr>
          <t>Aswath Damodaran:</t>
        </r>
        <r>
          <rPr>
            <sz val="9"/>
            <rFont val="Geneva"/>
            <family val="0"/>
          </rPr>
          <t xml:space="preserve">
This is a measure of the company's exposure to country risk. This makes a difference only if a company has significant exposure to emerging market risk. See working paper on my web site for estimation suggestions.</t>
        </r>
      </text>
    </comment>
    <comment ref="B38" authorId="0">
      <text>
        <r>
          <rPr>
            <b/>
            <sz val="9"/>
            <rFont val="Geneva"/>
            <family val="0"/>
          </rPr>
          <t>Aswath Damodaran:</t>
        </r>
        <r>
          <rPr>
            <sz val="9"/>
            <rFont val="Geneva"/>
            <family val="0"/>
          </rPr>
          <t xml:space="preserve">
Enter the equity risk premium that you would demand in a stable equity market. You can enter the historical premium for the US or across all equity markets in the 20th century from "Triumph of the Economists".</t>
        </r>
      </text>
    </comment>
    <comment ref="B24" authorId="0">
      <text>
        <r>
          <rPr>
            <b/>
            <sz val="9"/>
            <rFont val="Geneva"/>
            <family val="0"/>
          </rPr>
          <t>Aswath Damodaran:</t>
        </r>
        <r>
          <rPr>
            <sz val="9"/>
            <rFont val="Geneva"/>
            <family val="0"/>
          </rPr>
          <t xml:space="preserve">
This is the minority interest in consolidated companies that is owned by others. With full consolidation, this is the book value of the equity not owned by the company.</t>
        </r>
      </text>
    </comment>
    <comment ref="B14" authorId="0">
      <text>
        <r>
          <rPr>
            <b/>
            <sz val="9"/>
            <rFont val="Geneva"/>
            <family val="0"/>
          </rPr>
          <t>Aswath Damodaran:</t>
        </r>
        <r>
          <rPr>
            <sz val="9"/>
            <rFont val="Geneva"/>
            <family val="0"/>
          </rPr>
          <t xml:space="preserve">
You can use the effective tax rate, if you believe that the firm can continue to defer taxes, at least for the short term. If you are uncertain about this, use the marginal tax rate.</t>
        </r>
      </text>
    </comment>
  </commentList>
</comments>
</file>

<file path=xl/comments6.xml><?xml version="1.0" encoding="utf-8"?>
<comments xmlns="http://schemas.openxmlformats.org/spreadsheetml/2006/main">
  <authors>
    <author>Aswath Damodaran</author>
  </authors>
  <commentList>
    <comment ref="D2" authorId="0">
      <text>
        <r>
          <rPr>
            <b/>
            <sz val="9"/>
            <rFont val="Geneva"/>
            <family val="0"/>
          </rPr>
          <t>Aswath Damodaran:</t>
        </r>
        <r>
          <rPr>
            <sz val="9"/>
            <rFont val="Geneva"/>
            <family val="0"/>
          </rPr>
          <t xml:space="preserve">
1: Historical average earnings
2: Historical average ROC
3. Sector average margin</t>
        </r>
      </text>
    </comment>
    <comment ref="D5" authorId="0">
      <text>
        <r>
          <rPr>
            <b/>
            <sz val="9"/>
            <rFont val="Geneva"/>
            <family val="0"/>
          </rPr>
          <t>Aswath Damodaran:</t>
        </r>
        <r>
          <rPr>
            <sz val="9"/>
            <rFont val="Geneva"/>
            <family val="0"/>
          </rPr>
          <t xml:space="preserve">
Enter the average EBIT over the historical period chosen (eg. Last 5 years)</t>
        </r>
      </text>
    </comment>
    <comment ref="D8" authorId="0">
      <text>
        <r>
          <rPr>
            <b/>
            <sz val="9"/>
            <rFont val="Geneva"/>
            <family val="0"/>
          </rPr>
          <t>Aswath Damodaran:</t>
        </r>
        <r>
          <rPr>
            <sz val="9"/>
            <rFont val="Geneva"/>
            <family val="0"/>
          </rPr>
          <t xml:space="preserve">
Use the average pre-tax return on capital over the historical period. (EBIT/BV of Capital)</t>
        </r>
      </text>
    </comment>
    <comment ref="D11" authorId="0">
      <text>
        <r>
          <rPr>
            <b/>
            <sz val="9"/>
            <rFont val="Geneva"/>
            <family val="0"/>
          </rPr>
          <t>Aswath Damodaran:</t>
        </r>
        <r>
          <rPr>
            <sz val="9"/>
            <rFont val="Geneva"/>
            <family val="0"/>
          </rPr>
          <t xml:space="preserve">
Look at the attached industry average worksheet.</t>
        </r>
      </text>
    </comment>
    <comment ref="D14" authorId="0">
      <text>
        <r>
          <rPr>
            <b/>
            <sz val="9"/>
            <rFont val="Geneva"/>
            <family val="0"/>
          </rPr>
          <t>Aswath Damodaran:</t>
        </r>
        <r>
          <rPr>
            <sz val="9"/>
            <rFont val="Geneva"/>
            <family val="0"/>
          </rPr>
          <t xml:space="preserve">
DO NOT INPUT. This is being calculated based upon your inputs above.</t>
        </r>
      </text>
    </comment>
  </commentList>
</comments>
</file>

<file path=xl/comments7.xml><?xml version="1.0" encoding="utf-8"?>
<comments xmlns="http://schemas.openxmlformats.org/spreadsheetml/2006/main">
  <authors>
    <author>Aswath Damodaran</author>
  </authors>
  <commentList>
    <comment ref="D40" authorId="0">
      <text>
        <r>
          <rPr>
            <b/>
            <sz val="9"/>
            <rFont val="Geneva"/>
            <family val="0"/>
          </rPr>
          <t>Aswath Damodaran:</t>
        </r>
        <r>
          <rPr>
            <sz val="9"/>
            <rFont val="Geneva"/>
            <family val="0"/>
          </rPr>
          <t xml:space="preserve">
By expensing R&amp;D rather than capitalizing it, the firm gets a tax benefit. This is the dollar value of that tax benefit.</t>
        </r>
      </text>
    </comment>
  </commentList>
</comments>
</file>

<file path=xl/sharedStrings.xml><?xml version="1.0" encoding="utf-8"?>
<sst xmlns="http://schemas.openxmlformats.org/spreadsheetml/2006/main" count="767" uniqueCount="554">
  <si>
    <t>! If in doubt, use the lookup table below</t>
  </si>
  <si>
    <t>If yes, the debt ratio that will be used to compute the cost of capital is</t>
  </si>
  <si>
    <t>Beta used for stock =</t>
  </si>
  <si>
    <t>Telecom. Equipment</t>
  </si>
  <si>
    <t>Enter current interest expenses =</t>
  </si>
  <si>
    <t>Enter the annualized dividend yield on stock =</t>
  </si>
  <si>
    <t>Enter the treasury bond rate =</t>
  </si>
  <si>
    <t>General Market Data</t>
  </si>
  <si>
    <t>Adjusted Book Value of Equity =</t>
  </si>
  <si>
    <t>Foreign Telecom.</t>
  </si>
  <si>
    <t>This model is designed to value firms with operating income that is either positive or can be normalized to be</t>
  </si>
  <si>
    <t>10 years</t>
  </si>
  <si>
    <t>Do you want to keep the debt ratio computed from your inputs?</t>
  </si>
  <si>
    <t>Amortization Period</t>
  </si>
  <si>
    <t>Enter current long term government bond rate =</t>
  </si>
  <si>
    <t>EBIT</t>
  </si>
  <si>
    <t>BV of equity (start)</t>
  </si>
  <si>
    <t>Paper/Forest Products</t>
  </si>
  <si>
    <t>Commitment</t>
  </si>
  <si>
    <t>Investment Co. (Domestic)</t>
  </si>
  <si>
    <t>Investment Co. (Foreign)</t>
  </si>
  <si>
    <t>Investment Co. (Income)</t>
  </si>
  <si>
    <t>Machinery</t>
  </si>
  <si>
    <t>Cap Ex/ Depreciation</t>
  </si>
  <si>
    <t>Cement &amp; Aggregates</t>
  </si>
  <si>
    <t>(volatility)</t>
  </si>
  <si>
    <t>What the model does</t>
  </si>
  <si>
    <t>If no, enter the expected growth rate in operating income for high growth period</t>
  </si>
  <si>
    <t>Operating lease expense in current year =</t>
  </si>
  <si>
    <t>Yes</t>
  </si>
  <si>
    <t>Value of Equity in Options =</t>
  </si>
  <si>
    <t>Adjusted Book Value of Debt =</t>
  </si>
  <si>
    <t>greater than</t>
  </si>
  <si>
    <t>The spreadsheet has circular reasoning. This is not a problem. Go into calculation options (in excel) and check</t>
  </si>
  <si>
    <t>the iteration box.</t>
  </si>
  <si>
    <t>Estimated Bond Rating =</t>
  </si>
  <si>
    <t>A</t>
  </si>
  <si>
    <t>Estimated Default Spread =</t>
  </si>
  <si>
    <t>Amortization of asset for current year =</t>
  </si>
  <si>
    <t>Manuf. Housing/Rec Veh</t>
  </si>
  <si>
    <t>Electric Utility (East)</t>
  </si>
  <si>
    <t>After-tax Operating Margin</t>
  </si>
  <si>
    <t>Foreign Electron/Entertn</t>
  </si>
  <si>
    <t>Reinvestment Rate =</t>
  </si>
  <si>
    <t>Enter R&amp; D expenses for past years: the number of years that you will need to enter will be determined by the amortization period</t>
  </si>
  <si>
    <t>Industrial Services</t>
  </si>
  <si>
    <t>Enter the current stock price =</t>
  </si>
  <si>
    <t>Accounts Payable</t>
  </si>
  <si>
    <t>Other Current Liabilities</t>
  </si>
  <si>
    <t>Value at the end of growth phase =</t>
  </si>
  <si>
    <t>Exchange Rate for currrent price conversions =</t>
  </si>
  <si>
    <t>Adjusted Capital Spending</t>
  </si>
  <si>
    <t>Financial Services</t>
  </si>
  <si>
    <t>Go to Earnings Normalizer</t>
  </si>
  <si>
    <t xml:space="preserve"> - (CapEx-Depreciation)</t>
  </si>
  <si>
    <t>Cost of Capital in Stable Phase =</t>
  </si>
  <si>
    <t>Variance=</t>
  </si>
  <si>
    <t>Pre-tax cost of debt in stable growth period =</t>
  </si>
  <si>
    <t>If interest coverage ratio is</t>
  </si>
  <si>
    <t>Adjustment to Total Debt outstanding =</t>
  </si>
  <si>
    <t>Ratings</t>
  </si>
  <si>
    <t>Furn./Home Furnishings</t>
  </si>
  <si>
    <t>Do you want me to gradually adjust your high growth inputs in the second half?</t>
  </si>
  <si>
    <t>If yes, enter the return on capital that the firm will have in stable growth</t>
  </si>
  <si>
    <t>! This is the EBIT reported in the current income statement</t>
  </si>
  <si>
    <t>Normalized EBIT (before adjustments)</t>
  </si>
  <si>
    <t>Pre-tax Operating Margin for Sector =</t>
  </si>
  <si>
    <t>! Look at industry average</t>
  </si>
  <si>
    <t>Intermediate Output</t>
  </si>
  <si>
    <t>! If negative, go back and choose to normalize earnings.</t>
  </si>
  <si>
    <t>Enter the type of firm =</t>
  </si>
  <si>
    <t>! This is the interest-bearing debt reported on the balance sheet</t>
  </si>
  <si>
    <t>Present Value of FCFF in high growth phase =</t>
  </si>
  <si>
    <t>3 years</t>
  </si>
  <si>
    <t>Length of High Growth Period =</t>
  </si>
  <si>
    <t>Forever</t>
  </si>
  <si>
    <t>Cost of Debt =</t>
  </si>
  <si>
    <t>Total</t>
  </si>
  <si>
    <t>Normalized Earnings before interest and taxes =</t>
  </si>
  <si>
    <t>Inputs for synthetic rating estimation</t>
  </si>
  <si>
    <t>Beta to use in stable growth period =</t>
  </si>
  <si>
    <t>Natural Gas (Diversified)</t>
  </si>
  <si>
    <t>Newspaper</t>
  </si>
  <si>
    <t>The FCFF for the high growth phase are shown below (upto 10 years)</t>
  </si>
  <si>
    <t>Packaging &amp; Container</t>
  </si>
  <si>
    <t>Auto &amp; Truck</t>
  </si>
  <si>
    <t>Chg. Working Capital =</t>
  </si>
  <si>
    <t>Master Input Sheet</t>
  </si>
  <si>
    <t>Operating Lease Commitments (From footnote to financials)</t>
  </si>
  <si>
    <t>Output from the program</t>
  </si>
  <si>
    <t>Cost of Equity =</t>
  </si>
  <si>
    <t>You can even make it a stable growth model, by setting the length of the high growth period to zero.</t>
  </si>
  <si>
    <t xml:space="preserve">1. Bottom-up beta estimator: will estimate your levered beta, given an unlevered beta (which you will have to </t>
  </si>
  <si>
    <t>input.</t>
  </si>
  <si>
    <t>If yes, the inputs to the fundamental growth calculation (based upon your inputs) are</t>
  </si>
  <si>
    <t>! If you do not have a cost of debt, use the ratings estimator</t>
  </si>
  <si>
    <t>Beverage (Soft Drink)</t>
  </si>
  <si>
    <t>Building Materials</t>
  </si>
  <si>
    <t>Cable TV</t>
  </si>
  <si>
    <t>Canadian Energy</t>
  </si>
  <si>
    <t>If no, enter the debt ratio that you would like to use in the high growth period</t>
  </si>
  <si>
    <t>Enter the current year's R&amp;D expense =</t>
  </si>
  <si>
    <t>Amortization this year</t>
  </si>
  <si>
    <t>Natural Gas (Distrib.)</t>
  </si>
  <si>
    <t>Steel (General)</t>
  </si>
  <si>
    <t>! Year -1 is the year prior to the current year</t>
  </si>
  <si>
    <t>Value of Equity in Common Stock =</t>
  </si>
  <si>
    <t>Home Appliance</t>
  </si>
  <si>
    <t>The spreadsheet can be used to value a company, with fixed inputs for a high growth phase and different inputs</t>
  </si>
  <si>
    <t>If yes, enter the number of options</t>
  </si>
  <si>
    <t xml:space="preserve">Average strike price </t>
  </si>
  <si>
    <t>! Year -2 is the two years prior to the current year</t>
  </si>
  <si>
    <t>(Use only long term interest expense for financial firms)</t>
  </si>
  <si>
    <t>Beta to use for high growth period for your firm=</t>
  </si>
  <si>
    <t>EBIT (1-t)</t>
  </si>
  <si>
    <t>The output is contained in the valuation model worksheet.</t>
  </si>
  <si>
    <t>Number of shares outstanding =</t>
  </si>
  <si>
    <t>No</t>
  </si>
  <si>
    <t>Do you have equity options (management options, warrants) outstanding?</t>
  </si>
  <si>
    <t>Adjusted S =</t>
  </si>
  <si>
    <t>Adjusted K =</t>
  </si>
  <si>
    <t>Invested Capital</t>
  </si>
  <si>
    <t>ROIC</t>
  </si>
  <si>
    <t>Do you want to capitalize R&amp;D expenses?</t>
  </si>
  <si>
    <t>! Yes or No</t>
  </si>
  <si>
    <t>! Year 1 is next year, ….</t>
  </si>
  <si>
    <t>6 and beyond</t>
  </si>
  <si>
    <t>Light Manufacturing</t>
  </si>
  <si>
    <t>5 years</t>
  </si>
  <si>
    <t>Sales/Capital</t>
  </si>
  <si>
    <t>Mature Market Equity Premium =</t>
  </si>
  <si>
    <t>Return on Capital =</t>
  </si>
  <si>
    <t>Adjustment to Operating Earnings =</t>
  </si>
  <si>
    <t>Apparel</t>
  </si>
  <si>
    <t>Semiconductor</t>
  </si>
  <si>
    <t>Semiconductor Cap Equip</t>
  </si>
  <si>
    <t>Shoe</t>
  </si>
  <si>
    <t>Important: Be consistent about the units you use. If you use millions, use millions for all of your inputs.</t>
  </si>
  <si>
    <t>Office Equip &amp; Supplies</t>
  </si>
  <si>
    <t>! Look up industry averages</t>
  </si>
  <si>
    <t>Operating Lease Converter</t>
  </si>
  <si>
    <t>Inputs</t>
  </si>
  <si>
    <t>Value of Research Asset =</t>
  </si>
  <si>
    <t>Value of Cash, Marketable Securities &amp; Non-operating assets =</t>
  </si>
  <si>
    <t>Current EBIT =</t>
  </si>
  <si>
    <t>Chemical (Specialty)</t>
  </si>
  <si>
    <t>Coal/Alternate Energy</t>
  </si>
  <si>
    <t>To compute the reinvestment rate in stable growth, you have two options</t>
  </si>
  <si>
    <t>Exchange Rate for fiscal year items (BR/$) =</t>
  </si>
  <si>
    <t>From Current Financials</t>
  </si>
  <si>
    <t>Bank (Foreign)</t>
  </si>
  <si>
    <t>Bank (Midwest)</t>
  </si>
  <si>
    <t>Beverage (Alcoholic)</t>
  </si>
  <si>
    <t>Adjusted Depreciation &amp; Amort'n =</t>
  </si>
  <si>
    <t>Dollar</t>
  </si>
  <si>
    <t>income, the book value of assets and the book value of equity.</t>
  </si>
  <si>
    <t>to estimate the number of years of expenses in yr 6</t>
  </si>
  <si>
    <t>Converting Operating Leases into debt</t>
  </si>
  <si>
    <t>Rating is</t>
  </si>
  <si>
    <t>Spread is</t>
  </si>
  <si>
    <t>inputs adjusted during the second half of the high growth phase.</t>
  </si>
  <si>
    <t>Before you start</t>
  </si>
  <si>
    <t>Market Value of Equity/share =</t>
  </si>
  <si>
    <t>B+</t>
  </si>
  <si>
    <t>Natural Gas (Div.)</t>
  </si>
  <si>
    <t>Office Equip/Supplies</t>
  </si>
  <si>
    <r>
      <t xml:space="preserve">1. The bulk of the inputs are in the </t>
    </r>
    <r>
      <rPr>
        <sz val="10"/>
        <color indexed="10"/>
        <rFont val="Times"/>
        <family val="0"/>
      </rPr>
      <t>master inputs page</t>
    </r>
    <r>
      <rPr>
        <sz val="10"/>
        <rFont val="Times"/>
        <family val="0"/>
      </rPr>
      <t>. Here, you can input the numbers from the current</t>
    </r>
  </si>
  <si>
    <r>
      <t xml:space="preserve">2. If you want to normalized operating income, use the </t>
    </r>
    <r>
      <rPr>
        <sz val="10"/>
        <color indexed="10"/>
        <rFont val="Times"/>
        <family val="0"/>
      </rPr>
      <t>earnings normalizer</t>
    </r>
    <r>
      <rPr>
        <sz val="10"/>
        <rFont val="Times"/>
        <family val="0"/>
      </rPr>
      <t xml:space="preserve"> worksheet.</t>
    </r>
  </si>
  <si>
    <t>AT Cost of Debt in Stable Phase =</t>
  </si>
  <si>
    <t>Yes</t>
  </si>
  <si>
    <t>Property Management</t>
  </si>
  <si>
    <t>Reinsurance</t>
  </si>
  <si>
    <t>BB</t>
  </si>
  <si>
    <t>BBB</t>
  </si>
  <si>
    <t>A-</t>
  </si>
  <si>
    <t>A+</t>
  </si>
  <si>
    <t>Do you want to use the stock price to value the option or your estimated value?</t>
  </si>
  <si>
    <t>P</t>
  </si>
  <si>
    <t>Stock Price=</t>
  </si>
  <si>
    <t>Current</t>
  </si>
  <si>
    <t>Valuation</t>
  </si>
  <si>
    <t>Riskfree rate =</t>
  </si>
  <si>
    <t>Do you want to change these inputs?</t>
  </si>
  <si>
    <t xml:space="preserve">2. Industry averages: Here, you can look up industry averages for variables such as beta, return on capital, </t>
  </si>
  <si>
    <t>Tax Rate to use in stable growth period =</t>
  </si>
  <si>
    <t>Growth Rate =</t>
  </si>
  <si>
    <t>Look Up Table for Amortization Periods</t>
  </si>
  <si>
    <t>If you have negative operating income, you will either have to normalize it to make it positive, or use the highgrowth.xls spreadsheet.</t>
  </si>
  <si>
    <t>Growth Rate</t>
  </si>
  <si>
    <t>FCFF</t>
  </si>
  <si>
    <t>Business</t>
  </si>
  <si>
    <t>Revenues</t>
  </si>
  <si>
    <t>EV/Sales</t>
  </si>
  <si>
    <t>Value Weight</t>
  </si>
  <si>
    <t>No</t>
  </si>
  <si>
    <t>Investment</t>
  </si>
  <si>
    <t>Current market price</t>
  </si>
  <si>
    <t>D</t>
  </si>
  <si>
    <t>C</t>
  </si>
  <si>
    <t>Terminal value</t>
  </si>
  <si>
    <t>Furn/Home Furnishings</t>
  </si>
  <si>
    <t>Healthcare Information</t>
  </si>
  <si>
    <t>! If yes, use the rating estimator worksheet that is attached</t>
  </si>
  <si>
    <t>The maximum allowed is ten years</t>
  </si>
  <si>
    <t>Previous year-end</t>
  </si>
  <si>
    <t>Long Term Treasury bond rate=</t>
  </si>
  <si>
    <t>Pre-tax Cost of Debt =</t>
  </si>
  <si>
    <t>Revenues</t>
  </si>
  <si>
    <t>Auto Parts (OEM)</t>
  </si>
  <si>
    <t>Chemical (Diversified)</t>
  </si>
  <si>
    <t>Medical Services</t>
  </si>
  <si>
    <t>Working Capital as percent of revenues =</t>
  </si>
  <si>
    <t xml:space="preserve"> (in percent)</t>
  </si>
  <si>
    <t>Do not input any numbers below this line</t>
  </si>
  <si>
    <t>VALUING WARRANTS WHEN THERE IS DILUTION</t>
  </si>
  <si>
    <t xml:space="preserve"> -Chg. Working Capital</t>
  </si>
  <si>
    <t>Restated Financials</t>
  </si>
  <si>
    <t>Minority Interests (this is a liability) =</t>
  </si>
  <si>
    <t>Steel (Integrated)</t>
  </si>
  <si>
    <t>Worksheet for normalization (Last 5 years of data)</t>
  </si>
  <si>
    <t>Current Revenues =</t>
  </si>
  <si>
    <t>Current Non-cash Working Capital =</t>
  </si>
  <si>
    <t>(Enter 1 if large manufacturing firm, 2 if smaller or riskier firm, 3 if financial service firm)</t>
  </si>
  <si>
    <t>Adjustment to Operating Income =</t>
  </si>
  <si>
    <t>FCFF VALUATION MODEL</t>
  </si>
  <si>
    <t>Homebuilding</t>
  </si>
  <si>
    <t>Hotel/Gaming</t>
  </si>
  <si>
    <t>Long Gestation Period</t>
  </si>
  <si>
    <t>Length of high growth period =</t>
  </si>
  <si>
    <t>Public/Private Equity</t>
  </si>
  <si>
    <t>Funeral Services</t>
  </si>
  <si>
    <t>BB+</t>
  </si>
  <si>
    <t>Retail Automotive</t>
  </si>
  <si>
    <t>Aggregate</t>
  </si>
  <si>
    <t>Options</t>
  </si>
  <si>
    <t>Depreciation on Operating Lease Asset =</t>
  </si>
  <si>
    <t>Would you like to use the book value debt ratio?</t>
  </si>
  <si>
    <t>If no, enter the debt ratio to use in valuation</t>
  </si>
  <si>
    <t>Market Data for your firm</t>
  </si>
  <si>
    <t xml:space="preserve">  </t>
  </si>
  <si>
    <t>Bottom-up beta for firm =</t>
  </si>
  <si>
    <t>Current Interest Expense =</t>
  </si>
  <si>
    <t>Auto Parts (Replacement)</t>
  </si>
  <si>
    <t>Bank</t>
  </si>
  <si>
    <t>Present Value of Terminal Value of Firm =</t>
  </si>
  <si>
    <t>Growth rate during stable growth period =</t>
  </si>
  <si>
    <t>Expected Growth Rate</t>
  </si>
  <si>
    <t>Food Wholesalers</t>
  </si>
  <si>
    <t>Enter the strike price on the option =</t>
  </si>
  <si>
    <t>NA</t>
  </si>
  <si>
    <t>Minority Interest in consolidated holdings =</t>
  </si>
  <si>
    <t>Precision Instrument</t>
  </si>
  <si>
    <t>Publishing</t>
  </si>
  <si>
    <t>Annualized dividend yield=</t>
  </si>
  <si>
    <t>Div. Adj. interest rate=</t>
  </si>
  <si>
    <t xml:space="preserve">d1 = </t>
  </si>
  <si>
    <t>Market Value of outstanding debt =</t>
  </si>
  <si>
    <t>Market Value of Equity =</t>
  </si>
  <si>
    <t>Strike Price=</t>
  </si>
  <si>
    <t>Drugstore</t>
  </si>
  <si>
    <t>Educational Services</t>
  </si>
  <si>
    <t>Reinvestment Rate</t>
  </si>
  <si>
    <t>Oilfield Services/Equip.</t>
  </si>
  <si>
    <t>E-Commerce</t>
  </si>
  <si>
    <t>Entertainment Tech</t>
  </si>
  <si>
    <t>Financial Svcs. (Div.)</t>
  </si>
  <si>
    <t>Human Resources</t>
  </si>
  <si>
    <t>Information Services</t>
  </si>
  <si>
    <t>Average maturity of debt =</t>
  </si>
  <si>
    <t>Precious Metals</t>
  </si>
  <si>
    <t>Wireless Networking</t>
  </si>
  <si>
    <t>Semiconductor Equip</t>
  </si>
  <si>
    <t>Tata Chemicals</t>
  </si>
  <si>
    <t>Debt Ratio used in Cost of Capital Calculation=</t>
  </si>
  <si>
    <t>Unamortized portion</t>
  </si>
  <si>
    <t>! Commitment beyond year 6 converted into an annuity for ten years</t>
  </si>
  <si>
    <t>From the current financial statements, enter the following</t>
  </si>
  <si>
    <t>Reported Operating Income (EBIT) =</t>
  </si>
  <si>
    <t>Equity/(Debt+Equity ) =</t>
  </si>
  <si>
    <t>After-tax Cost of debt =</t>
  </si>
  <si>
    <t>Debt/(Debt +Equity) =</t>
  </si>
  <si>
    <t>Cost of Capital</t>
  </si>
  <si>
    <t>Cost of Capital =</t>
  </si>
  <si>
    <t>Cash &amp; Marketable Securities =</t>
  </si>
  <si>
    <t>Reported Debt =</t>
  </si>
  <si>
    <t>Unlevered Beta</t>
  </si>
  <si>
    <t>Trucking/Transp. Leasing</t>
  </si>
  <si>
    <t>For smaller and riskier firms</t>
  </si>
  <si>
    <t>Expiration (in years) =</t>
  </si>
  <si>
    <t>Enter current Earnings before interest and taxes (EBIT) =</t>
  </si>
  <si>
    <t xml:space="preserve">d2 = </t>
  </si>
  <si>
    <t>Enter the number of shares outstanding =</t>
  </si>
  <si>
    <t>Non-cash WC</t>
  </si>
  <si>
    <t>Inventory</t>
  </si>
  <si>
    <t>Accounts Rec</t>
  </si>
  <si>
    <t>Insurance (Prop/Casualty)</t>
  </si>
  <si>
    <t>Internet</t>
  </si>
  <si>
    <t>Interest  coverage ratio =</t>
  </si>
  <si>
    <t>Reinvestment Rate in Stable Phase =</t>
  </si>
  <si>
    <t>Cumulated Growth</t>
  </si>
  <si>
    <t>Textile</t>
  </si>
  <si>
    <t>No</t>
  </si>
  <si>
    <t>Std Dev: Equity</t>
  </si>
  <si>
    <t>Beverage</t>
  </si>
  <si>
    <t>Heavy Construction</t>
  </si>
  <si>
    <t># Warrants issued=</t>
  </si>
  <si>
    <t>Do you want to estimate the firm's synthetic rating =</t>
  </si>
  <si>
    <t>Number of years embedded in yr 6 estimate =</t>
  </si>
  <si>
    <t>Metal Fabricating</t>
  </si>
  <si>
    <t>Metals &amp; Mining (Div.)</t>
  </si>
  <si>
    <t>Net Cap ex</t>
  </si>
  <si>
    <t>Value of Non-operating Assets =</t>
  </si>
  <si>
    <t>Value of operating assets of the firm =</t>
  </si>
  <si>
    <t>Auto Parts</t>
  </si>
  <si>
    <t>Biotechnology</t>
  </si>
  <si>
    <t>Coal</t>
  </si>
  <si>
    <t>! Reverted back to conventional debt to equity ratio</t>
  </si>
  <si>
    <t>Retail (Special Lines)</t>
  </si>
  <si>
    <t>Retail Building Supply</t>
  </si>
  <si>
    <t>Retail Store</t>
  </si>
  <si>
    <t>Securities Brokerage</t>
  </si>
  <si>
    <t>Year</t>
  </si>
  <si>
    <t>(Add back only long term interest expense for financial firms)</t>
  </si>
  <si>
    <t>Electronics</t>
  </si>
  <si>
    <t>Air Transport</t>
  </si>
  <si>
    <t>Aluminum</t>
  </si>
  <si>
    <t>Investment Co.(Foreign)</t>
  </si>
  <si>
    <t>Manuf. Housing/RV</t>
  </si>
  <si>
    <t>Unlevered beta</t>
  </si>
  <si>
    <t>Shipbuilding</t>
  </si>
  <si>
    <t>Offshore &amp; Engineering</t>
  </si>
  <si>
    <t>Industrial plant</t>
  </si>
  <si>
    <t>Engine and Machinery</t>
  </si>
  <si>
    <t>Go to R&amp;D Converter</t>
  </si>
  <si>
    <t>Number of firms</t>
  </si>
  <si>
    <t>Pre-tax Operating Margin</t>
  </si>
  <si>
    <t>Is your stock currently traded?</t>
  </si>
  <si>
    <t>R &amp; D Converter</t>
  </si>
  <si>
    <t>R&amp;D Expense</t>
  </si>
  <si>
    <t>Toiletries/Cosmetics</t>
  </si>
  <si>
    <t>Tire &amp; Rubber</t>
  </si>
  <si>
    <t>Maritime</t>
  </si>
  <si>
    <t>financial statements, and review and change the inputs for the valuation.</t>
  </si>
  <si>
    <t>Recreation</t>
  </si>
  <si>
    <t>Restaurant</t>
  </si>
  <si>
    <t>Tax rate (for computing after-tax operating income) =</t>
  </si>
  <si>
    <t>Marginal tax rate =</t>
  </si>
  <si>
    <t>Lambda to use for your firm (for both high growth and stable growth) =</t>
  </si>
  <si>
    <t>Paper &amp; Forest Products</t>
  </si>
  <si>
    <t>Petroleum (Integrated)</t>
  </si>
  <si>
    <t>Debt Value of leases =</t>
  </si>
  <si>
    <t>Tax Rate for computing income=</t>
  </si>
  <si>
    <t>Marginal tax rate =</t>
  </si>
  <si>
    <t>Electrical Equipment</t>
  </si>
  <si>
    <t>Enter the cost of debt associated with the rating =</t>
  </si>
  <si>
    <t>Book Value of Debt =</t>
  </si>
  <si>
    <t>Electric Util. (Central)</t>
  </si>
  <si>
    <t>Valuing Options or Warrants</t>
  </si>
  <si>
    <t xml:space="preserve">Value per option = </t>
  </si>
  <si>
    <t>EBIT (1-t)</t>
  </si>
  <si>
    <t>BV of debt (start)</t>
  </si>
  <si>
    <t>Cash holdings</t>
  </si>
  <si>
    <t>Stable Growth Period</t>
  </si>
  <si>
    <t>Heavy  Manufacturing</t>
  </si>
  <si>
    <t>Current Depreciation &amp; Amort'n =</t>
  </si>
  <si>
    <t>Industry Name</t>
  </si>
  <si>
    <t>Market Value of Equity/share in BR =</t>
  </si>
  <si>
    <t>Environmental</t>
  </si>
  <si>
    <t>Other Current assets</t>
  </si>
  <si>
    <t>Adjusted EBIT =</t>
  </si>
  <si>
    <t>Free Cashflow to Firm</t>
  </si>
  <si>
    <t>If no, enter the following</t>
  </si>
  <si>
    <t>Number of units</t>
  </si>
  <si>
    <t>Book Value (in millions)</t>
  </si>
  <si>
    <t>Market Value (in millions)</t>
  </si>
  <si>
    <t>a. Investments with market value</t>
  </si>
  <si>
    <t>Total</t>
  </si>
  <si>
    <t>b. Investments without quoted market price</t>
  </si>
  <si>
    <t>All other investments</t>
  </si>
  <si>
    <t>! I use the average lease expense over the first five years</t>
  </si>
  <si>
    <t>Utility (Foreign)</t>
  </si>
  <si>
    <t>Market D/E</t>
  </si>
  <si>
    <t>Levered Beta</t>
  </si>
  <si>
    <t>Bottom-up Beta Calculator</t>
  </si>
  <si>
    <t>Insurance (Diversified)</t>
  </si>
  <si>
    <t>Non-cash WC/ Revenues</t>
  </si>
  <si>
    <t>Payout Ratio</t>
  </si>
  <si>
    <t>EV/Sales</t>
  </si>
  <si>
    <t>Diversified Co.</t>
  </si>
  <si>
    <t>Drug</t>
  </si>
  <si>
    <t>If no, enter the ratio of working capital to revenues to use in analysis</t>
  </si>
  <si>
    <t>Computer &amp; Peripherals</t>
  </si>
  <si>
    <t>Computer Software &amp; Svcs</t>
  </si>
  <si>
    <t>Copper</t>
  </si>
  <si>
    <t>AA</t>
  </si>
  <si>
    <t>AAA</t>
  </si>
  <si>
    <t>Firm's Current tax rate =</t>
  </si>
  <si>
    <t>B-</t>
  </si>
  <si>
    <t>B</t>
  </si>
  <si>
    <t>B+</t>
  </si>
  <si>
    <t>Petroleum (Producing)</t>
  </si>
  <si>
    <t>EBT</t>
  </si>
  <si>
    <t>Average Earnings before  taxes =</t>
  </si>
  <si>
    <t>Yes</t>
  </si>
  <si>
    <t>yes</t>
  </si>
  <si>
    <t>Reinvestment Rate without acquisitions</t>
  </si>
  <si>
    <t>Pre-tax Oper Mgn</t>
  </si>
  <si>
    <t>Tax Effect of R&amp;D Expensing</t>
  </si>
  <si>
    <t>Entertainment</t>
  </si>
  <si>
    <t>An apology: I apologize for the number of inputs that are required on this sheet. Many of the inputs are required only if you choose the appropriate option, though.</t>
  </si>
  <si>
    <t>Advertising</t>
  </si>
  <si>
    <t>positive. It allows for up to 15 years of high growth, and can be used either as a 2-stage or a 3-stage model.</t>
  </si>
  <si>
    <t>The inputs are in the following pages:</t>
  </si>
  <si>
    <t>Water Utility</t>
  </si>
  <si>
    <t>ROC</t>
  </si>
  <si>
    <t>High Growth Period</t>
  </si>
  <si>
    <t>Gold/Silver Mining</t>
  </si>
  <si>
    <t>Grocery</t>
  </si>
  <si>
    <t>Healthcare Info Systems</t>
  </si>
  <si>
    <t>R&amp; D Expenses</t>
  </si>
  <si>
    <t>Present Value</t>
  </si>
  <si>
    <t>Do you want to keep the existing ratio of working capital to revenue?</t>
  </si>
  <si>
    <t>Debt Ratio to use in stable growth period =</t>
  </si>
  <si>
    <t>Current Capital Spending</t>
  </si>
  <si>
    <t>Tax Rate on Income =</t>
  </si>
  <si>
    <t>(in percent)</t>
  </si>
  <si>
    <t>For large manufacturing firms</t>
  </si>
  <si>
    <t>EBIT * (1 - tax rate)</t>
  </si>
  <si>
    <t>Medical Supplies</t>
  </si>
  <si>
    <t>! I use straight line depreciation</t>
  </si>
  <si>
    <t>If yes, choose the type of firm</t>
  </si>
  <si>
    <t>Growth Rate in Stable Phase =</t>
  </si>
  <si>
    <t>FCFF in Stable Phase =</t>
  </si>
  <si>
    <t>NA</t>
  </si>
  <si>
    <t>Bank (Canadian)</t>
  </si>
  <si>
    <t>Average maturity</t>
  </si>
  <si>
    <t>Research, with Patenting</t>
  </si>
  <si>
    <t>This spreadsheet converts R&amp;D expenses from operating to capital expenses. It makes the appropriate adjustments to operating income, net</t>
  </si>
  <si>
    <t>Thrift</t>
  </si>
  <si>
    <t>For financial service firms</t>
  </si>
  <si>
    <t>Enter the number of warrants (options) outstanding =</t>
  </si>
  <si>
    <t>Investment Co.</t>
  </si>
  <si>
    <t>Pharmacy Services</t>
  </si>
  <si>
    <t>Power</t>
  </si>
  <si>
    <t>Cumulated Cost of Capital</t>
  </si>
  <si>
    <t>CC</t>
  </si>
  <si>
    <t>CCC</t>
  </si>
  <si>
    <t>reinvestment rates and working capital.</t>
  </si>
  <si>
    <t>Insurance (Prop/Cas.)</t>
  </si>
  <si>
    <t xml:space="preserve">To switch from one to the other, enter yes in the master input page to the question of whether you want the </t>
  </si>
  <si>
    <t>Terminal Year</t>
  </si>
  <si>
    <t>Cost of Equity in Stable Phase =</t>
  </si>
  <si>
    <t>Equity/ (Equity + Debt) =</t>
  </si>
  <si>
    <t>EBT Margin</t>
  </si>
  <si>
    <t># Shares outstanding=</t>
  </si>
  <si>
    <t>T.Bond rate=</t>
  </si>
  <si>
    <t>! PV of operating leases * Pre-tax cost of debt</t>
  </si>
  <si>
    <t>Rupees</t>
  </si>
  <si>
    <t>Normalizing Earnings</t>
  </si>
  <si>
    <t>Debt/ (Equity + Debt)  =</t>
  </si>
  <si>
    <t>Valuation Inputs</t>
  </si>
  <si>
    <t>If yes, enter the following:</t>
  </si>
  <si>
    <t>Estimated Cost of Debt =</t>
  </si>
  <si>
    <t>Aerospace/Defense</t>
  </si>
  <si>
    <t>Unlevered beta for sector =</t>
  </si>
  <si>
    <t>! A positive number indicates an increase in operating income (add to reported EBIT)</t>
  </si>
  <si>
    <t>If historical average,</t>
  </si>
  <si>
    <t>Enter the expiration of the option =</t>
  </si>
  <si>
    <t>Enter the standard deviation in stock prices =</t>
  </si>
  <si>
    <t>Operating Income Decline</t>
  </si>
  <si>
    <t>Country Risk premium for equity in stable growth period =</t>
  </si>
  <si>
    <t>Country Risk Premium =</t>
  </si>
  <si>
    <t xml:space="preserve">Invested Capital </t>
  </si>
  <si>
    <t>Book Value of Equity =</t>
  </si>
  <si>
    <t>Household Products</t>
  </si>
  <si>
    <t>3. If you have R&amp;D or operating leases, you will need to input the required numbers in those worksheets.</t>
  </si>
  <si>
    <t>Other worksheets</t>
  </si>
  <si>
    <t>Non-technological Service</t>
  </si>
  <si>
    <t>Value of all options outstanding =</t>
  </si>
  <si>
    <t>Current Stock Price =</t>
  </si>
  <si>
    <t>R.E.I.T.</t>
  </si>
  <si>
    <t>Railroad</t>
  </si>
  <si>
    <t xml:space="preserve"> - Reinvestment</t>
  </si>
  <si>
    <t>Net Cap ex as % of EBIT (1-t)</t>
  </si>
  <si>
    <t>Cap ex</t>
  </si>
  <si>
    <t>Acquisitions</t>
  </si>
  <si>
    <t>Depreciation</t>
  </si>
  <si>
    <t>Chg in WC</t>
  </si>
  <si>
    <t>Reinvestment</t>
  </si>
  <si>
    <t xml:space="preserve">for a stable growth phase (2-stage model) or it can be adjusted to allow for a transition phase (3-stage model). </t>
  </si>
  <si>
    <t>Market Debt/Capital</t>
  </si>
  <si>
    <t>There are two other worksheets that you might find useful at the end of this spreadsheet</t>
  </si>
  <si>
    <t>Standard Deviation in stock price</t>
  </si>
  <si>
    <t>Input Summary</t>
  </si>
  <si>
    <t>Oilfield Svcs/Equip.</t>
  </si>
  <si>
    <t>Lambda used for stock =</t>
  </si>
  <si>
    <t>Marginal tax rate =</t>
  </si>
  <si>
    <t>Electro Electric System</t>
  </si>
  <si>
    <t>Construction Equipment</t>
  </si>
  <si>
    <t>Value</t>
  </si>
  <si>
    <t>Country Equity Risk Premium =</t>
  </si>
  <si>
    <t>Price to Book Ratio of sector with minority holdings =</t>
  </si>
  <si>
    <t>Do not input numbers in the first column (Year). It will get automatically updated  based on the input above.</t>
  </si>
  <si>
    <t>Adjusted Interest Expense =</t>
  </si>
  <si>
    <t>Chemical (Basic)</t>
  </si>
  <si>
    <t>Non-cash WC as % of Revenue</t>
  </si>
  <si>
    <t>Normalized reinvestment =</t>
  </si>
  <si>
    <t>Tata Steel</t>
  </si>
  <si>
    <t>Reinvestment Rate</t>
  </si>
  <si>
    <t>If no,  enter capital expenditure as % of depreciation in stable growth</t>
  </si>
  <si>
    <t>Firm's Current market value D/E ratio =</t>
  </si>
  <si>
    <t>Effective Tax Rate</t>
  </si>
  <si>
    <t>ROE</t>
  </si>
  <si>
    <t>Net Margin</t>
  </si>
  <si>
    <t>Foreign Electronics</t>
  </si>
  <si>
    <t>Output</t>
  </si>
  <si>
    <t>Insurance (Life)</t>
  </si>
  <si>
    <t>Do you want to compute your growth rate from fundamentals?</t>
  </si>
  <si>
    <t>Trucking</t>
  </si>
  <si>
    <t>Over how many years do you want to amortize R&amp;D expenses</t>
  </si>
  <si>
    <t>Do you want to normalize operating income?</t>
  </si>
  <si>
    <t>Do you want to convert operating leases to debt?</t>
  </si>
  <si>
    <t>Computer Software/Svcs</t>
  </si>
  <si>
    <t>Computers/Peripherals</t>
  </si>
  <si>
    <t>Approach used to normalize earnings =</t>
  </si>
  <si>
    <t>If long term interest coverage ratio is</t>
  </si>
  <si>
    <t>&gt;</t>
  </si>
  <si>
    <t>≤ to</t>
  </si>
  <si>
    <t>Expected growth rate in perpetuity =</t>
  </si>
  <si>
    <t>Cost of capital =</t>
  </si>
  <si>
    <t>Return on capital =</t>
  </si>
  <si>
    <t>Terminal Value =</t>
  </si>
  <si>
    <t>EBIT (1 -t) =</t>
  </si>
  <si>
    <t>If yes, the working capital as a percent of revenues will be</t>
  </si>
  <si>
    <t>Market Value of Debt =</t>
  </si>
  <si>
    <t>Do you want to compute reinvestment needs in stable growth based on fundamentals?</t>
  </si>
  <si>
    <t>Historical average pre-tax return on capital =</t>
  </si>
  <si>
    <t>If sector margin</t>
  </si>
  <si>
    <t>N (d1) =</t>
  </si>
  <si>
    <t>2 years</t>
  </si>
  <si>
    <t>Retail, Tech Service</t>
  </si>
  <si>
    <t>Yes</t>
  </si>
  <si>
    <t>Natural Gas Utility</t>
  </si>
  <si>
    <t>Oil/Gas Distribution</t>
  </si>
  <si>
    <t>If not, what is the current rating of the firm?</t>
  </si>
  <si>
    <t>Market</t>
  </si>
  <si>
    <t>Telecom. Services</t>
  </si>
  <si>
    <t>Food Processing</t>
  </si>
  <si>
    <t>Tobacco</t>
  </si>
  <si>
    <t>Electric Utility (West)</t>
  </si>
  <si>
    <t>N (d2) =</t>
  </si>
  <si>
    <t>If historical average ROC,</t>
  </si>
  <si>
    <t>Value of Firm =</t>
  </si>
  <si>
    <t>Go to Operating lease converter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</si>
</sst>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0000"/>
    <numFmt numFmtId="175" formatCode="0.0000000"/>
    <numFmt numFmtId="176" formatCode="0.000000"/>
    <numFmt numFmtId="177" formatCode="0.00000"/>
    <numFmt numFmtId="178" formatCode="0.0000"/>
    <numFmt numFmtId="179" formatCode="0.000"/>
    <numFmt numFmtId="180" formatCode="&quot;$&quot;#,##0.00"/>
    <numFmt numFmtId="181" formatCode="#,##0.0000"/>
    <numFmt numFmtId="182" formatCode="&quot;$&quot;#,##0.0_);[Red]\(&quot;$&quot;#,##0.0\)"/>
    <numFmt numFmtId="183" formatCode="&quot;$&quot;#,##0.000_);[Red]\(&quot;$&quot;#,##0.000\)"/>
    <numFmt numFmtId="184" formatCode="0.000%"/>
    <numFmt numFmtId="185" formatCode="#,##0.000"/>
    <numFmt numFmtId="186" formatCode="0.0000%"/>
    <numFmt numFmtId="187" formatCode="[$R$-416]\ #,##0.00_);[Red]\([$R$-416]\ #,##0.00\)"/>
    <numFmt numFmtId="188" formatCode="[$R$-416]\ #,##0.00"/>
    <numFmt numFmtId="189" formatCode="0.00000000000000%"/>
    <numFmt numFmtId="190" formatCode="&quot;$&quot;#,##0.0"/>
    <numFmt numFmtId="191" formatCode="&quot;$&quot;#,##0"/>
    <numFmt numFmtId="192" formatCode="[$R$-416]\ #,##0"/>
    <numFmt numFmtId="193" formatCode="[$￦-412]#,##0;[Red]\-[$￦-412]#,##0"/>
    <numFmt numFmtId="194" formatCode="[$￦-412]#,##0"/>
    <numFmt numFmtId="195" formatCode="[$INR]\ #,##0.00"/>
    <numFmt numFmtId="196" formatCode="[$INR]\ #,##0.00_);[Red]\([$INR]\ #,##0.00\)"/>
    <numFmt numFmtId="197" formatCode="[$INR]\ #,##0;[Red][$INR]\ #,##0"/>
    <numFmt numFmtId="198" formatCode="[$INR]\ #,##0"/>
  </numFmts>
  <fonts count="31">
    <font>
      <sz val="10"/>
      <name val="Geneva"/>
      <family val="0"/>
    </font>
    <font>
      <b/>
      <sz val="10"/>
      <name val="Geneva"/>
      <family val="0"/>
    </font>
    <font>
      <i/>
      <sz val="10"/>
      <name val="Geneva"/>
      <family val="0"/>
    </font>
    <font>
      <b/>
      <i/>
      <sz val="10"/>
      <name val="Geneva"/>
      <family val="0"/>
    </font>
    <font>
      <sz val="14"/>
      <name val="Times"/>
      <family val="0"/>
    </font>
    <font>
      <sz val="12"/>
      <name val="Times"/>
      <family val="0"/>
    </font>
    <font>
      <sz val="10"/>
      <name val="Times"/>
      <family val="0"/>
    </font>
    <font>
      <b/>
      <i/>
      <sz val="10"/>
      <name val="Times"/>
      <family val="0"/>
    </font>
    <font>
      <b/>
      <sz val="10"/>
      <name val="Times"/>
      <family val="0"/>
    </font>
    <font>
      <i/>
      <sz val="10"/>
      <name val="Times"/>
      <family val="0"/>
    </font>
    <font>
      <sz val="9"/>
      <name val="Geneva"/>
      <family val="0"/>
    </font>
    <font>
      <b/>
      <sz val="9"/>
      <name val="Geneva"/>
      <family val="0"/>
    </font>
    <font>
      <b/>
      <sz val="14"/>
      <name val="Times"/>
      <family val="0"/>
    </font>
    <font>
      <b/>
      <i/>
      <sz val="9"/>
      <name val="Geneva"/>
      <family val="0"/>
    </font>
    <font>
      <sz val="9"/>
      <name val="Times"/>
      <family val="0"/>
    </font>
    <font>
      <b/>
      <sz val="9"/>
      <name val="Times"/>
      <family val="0"/>
    </font>
    <font>
      <b/>
      <sz val="12"/>
      <name val="Times"/>
      <family val="0"/>
    </font>
    <font>
      <b/>
      <sz val="14"/>
      <name val="Geneva"/>
      <family val="0"/>
    </font>
    <font>
      <sz val="14"/>
      <name val="Geneva"/>
      <family val="0"/>
    </font>
    <font>
      <b/>
      <sz val="10"/>
      <color indexed="10"/>
      <name val="Times"/>
      <family val="0"/>
    </font>
    <font>
      <sz val="14"/>
      <color indexed="10"/>
      <name val="Times"/>
      <family val="0"/>
    </font>
    <font>
      <sz val="10"/>
      <color indexed="10"/>
      <name val="Times"/>
      <family val="0"/>
    </font>
    <font>
      <sz val="10"/>
      <color indexed="10"/>
      <name val="Geneva"/>
      <family val="0"/>
    </font>
    <font>
      <b/>
      <sz val="14"/>
      <color indexed="10"/>
      <name val="Times"/>
      <family val="0"/>
    </font>
    <font>
      <sz val="8"/>
      <name val="Geneva"/>
      <family val="0"/>
    </font>
    <font>
      <u val="single"/>
      <sz val="10"/>
      <color indexed="12"/>
      <name val="Geneva"/>
      <family val="0"/>
    </font>
    <font>
      <u val="single"/>
      <sz val="10"/>
      <color indexed="36"/>
      <name val="Geneva"/>
      <family val="0"/>
    </font>
    <font>
      <i/>
      <sz val="9"/>
      <name val="Geneva"/>
      <family val="0"/>
    </font>
    <font>
      <sz val="8"/>
      <name val="Verdana"/>
      <family val="0"/>
    </font>
    <font>
      <sz val="16"/>
      <color indexed="9"/>
      <name val="Times"/>
      <family val="0"/>
    </font>
    <font>
      <b/>
      <sz val="8"/>
      <name val="Geneva"/>
      <family val="2"/>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11"/>
        <bgColor indexed="64"/>
      </patternFill>
    </fill>
  </fills>
  <borders count="10">
    <border>
      <left/>
      <right/>
      <top/>
      <bottom/>
      <diagonal/>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horizontal="center"/>
    </xf>
    <xf numFmtId="8" fontId="6" fillId="0" borderId="0" xfId="16" applyFont="1" applyAlignment="1">
      <alignment horizontal="center"/>
    </xf>
    <xf numFmtId="0" fontId="6" fillId="0" borderId="1" xfId="0" applyFont="1" applyBorder="1" applyAlignment="1">
      <alignment/>
    </xf>
    <xf numFmtId="0" fontId="6" fillId="0" borderId="1" xfId="0" applyFont="1" applyBorder="1" applyAlignment="1">
      <alignment horizontal="center"/>
    </xf>
    <xf numFmtId="10" fontId="6" fillId="0" borderId="1" xfId="0" applyNumberFormat="1" applyFont="1" applyBorder="1" applyAlignment="1">
      <alignment horizontal="center"/>
    </xf>
    <xf numFmtId="10" fontId="6" fillId="0" borderId="0" xfId="0" applyNumberFormat="1" applyFont="1" applyAlignment="1">
      <alignment horizontal="center"/>
    </xf>
    <xf numFmtId="0" fontId="8"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Alignment="1">
      <alignment horizontal="left"/>
    </xf>
    <xf numFmtId="0" fontId="12" fillId="0" borderId="0" xfId="0" applyFont="1" applyAlignment="1">
      <alignment horizontal="centerContinuous"/>
    </xf>
    <xf numFmtId="0" fontId="4" fillId="0" borderId="0" xfId="0" applyFont="1" applyAlignment="1">
      <alignment/>
    </xf>
    <xf numFmtId="2" fontId="6" fillId="0" borderId="1" xfId="0" applyNumberFormat="1" applyFont="1" applyBorder="1" applyAlignment="1">
      <alignment horizontal="center"/>
    </xf>
    <xf numFmtId="10" fontId="6" fillId="0" borderId="0" xfId="19" applyNumberFormat="1" applyFont="1" applyAlignment="1">
      <alignment horizontal="center"/>
    </xf>
    <xf numFmtId="2" fontId="6" fillId="0" borderId="0" xfId="0" applyNumberFormat="1" applyFont="1" applyAlignment="1">
      <alignment/>
    </xf>
    <xf numFmtId="0" fontId="12" fillId="0" borderId="0" xfId="0" applyFont="1" applyAlignment="1">
      <alignment/>
    </xf>
    <xf numFmtId="0" fontId="6" fillId="0" borderId="2" xfId="0" applyFont="1" applyBorder="1" applyAlignment="1">
      <alignment/>
    </xf>
    <xf numFmtId="0" fontId="0" fillId="0" borderId="0" xfId="0" applyFont="1" applyAlignment="1">
      <alignment/>
    </xf>
    <xf numFmtId="10" fontId="6" fillId="0" borderId="2" xfId="0" applyNumberFormat="1" applyFont="1" applyBorder="1" applyAlignment="1">
      <alignment/>
    </xf>
    <xf numFmtId="2" fontId="8" fillId="0" borderId="2" xfId="0" applyNumberFormat="1" applyFont="1" applyBorder="1" applyAlignment="1">
      <alignment horizontal="center"/>
    </xf>
    <xf numFmtId="0" fontId="1" fillId="0" borderId="3" xfId="0" applyFont="1" applyBorder="1" applyAlignment="1">
      <alignment horizontal="center"/>
    </xf>
    <xf numFmtId="10" fontId="8" fillId="0" borderId="2" xfId="0" applyNumberFormat="1" applyFont="1" applyBorder="1" applyAlignment="1">
      <alignment horizontal="center"/>
    </xf>
    <xf numFmtId="10" fontId="8" fillId="0" borderId="0" xfId="0" applyNumberFormat="1" applyFont="1" applyBorder="1" applyAlignment="1">
      <alignment horizontal="center"/>
    </xf>
    <xf numFmtId="0" fontId="9" fillId="0" borderId="1" xfId="0" applyFont="1" applyBorder="1" applyAlignment="1">
      <alignment horizontal="centerContinuous"/>
    </xf>
    <xf numFmtId="0" fontId="9" fillId="0" borderId="1" xfId="0" applyFont="1" applyBorder="1" applyAlignment="1">
      <alignment/>
    </xf>
    <xf numFmtId="0" fontId="9" fillId="0" borderId="0" xfId="0" applyFont="1" applyAlignment="1">
      <alignment/>
    </xf>
    <xf numFmtId="0" fontId="9" fillId="0" borderId="1" xfId="0" applyFont="1" applyBorder="1" applyAlignment="1">
      <alignment horizontal="center"/>
    </xf>
    <xf numFmtId="0" fontId="6" fillId="0" borderId="1" xfId="0" applyFont="1" applyBorder="1" applyAlignment="1">
      <alignment horizontal="centerContinuous"/>
    </xf>
    <xf numFmtId="8" fontId="6" fillId="0" borderId="2" xfId="0" applyNumberFormat="1" applyFont="1" applyBorder="1" applyAlignment="1">
      <alignment/>
    </xf>
    <xf numFmtId="10" fontId="8" fillId="0" borderId="2" xfId="19" applyNumberFormat="1" applyFont="1" applyBorder="1" applyAlignment="1">
      <alignment horizontal="center"/>
    </xf>
    <xf numFmtId="10" fontId="6" fillId="0" borderId="1" xfId="19" applyNumberFormat="1" applyFont="1" applyBorder="1" applyAlignment="1">
      <alignment/>
    </xf>
    <xf numFmtId="10" fontId="6" fillId="0" borderId="1" xfId="0" applyNumberFormat="1" applyFont="1" applyBorder="1" applyAlignment="1">
      <alignment/>
    </xf>
    <xf numFmtId="2" fontId="6" fillId="0" borderId="2" xfId="0" applyNumberFormat="1" applyFont="1" applyBorder="1" applyAlignment="1">
      <alignment/>
    </xf>
    <xf numFmtId="8" fontId="6" fillId="0" borderId="0" xfId="16" applyFont="1" applyBorder="1" applyAlignment="1">
      <alignment/>
    </xf>
    <xf numFmtId="0" fontId="6" fillId="0" borderId="4" xfId="0" applyFont="1" applyBorder="1" applyAlignment="1">
      <alignment/>
    </xf>
    <xf numFmtId="0" fontId="13" fillId="0" borderId="0" xfId="0" applyFont="1" applyAlignment="1">
      <alignment/>
    </xf>
    <xf numFmtId="180" fontId="6" fillId="0" borderId="2" xfId="0" applyNumberFormat="1" applyFont="1" applyBorder="1" applyAlignment="1">
      <alignment/>
    </xf>
    <xf numFmtId="2" fontId="14" fillId="0" borderId="1" xfId="0" applyNumberFormat="1" applyFont="1" applyBorder="1" applyAlignment="1">
      <alignment horizontal="center"/>
    </xf>
    <xf numFmtId="2" fontId="14" fillId="0" borderId="0" xfId="0" applyNumberFormat="1" applyFont="1" applyAlignment="1">
      <alignment/>
    </xf>
    <xf numFmtId="1" fontId="14" fillId="0" borderId="1" xfId="0" applyNumberFormat="1" applyFont="1" applyBorder="1" applyAlignment="1">
      <alignment horizontal="center"/>
    </xf>
    <xf numFmtId="2" fontId="15" fillId="0" borderId="0" xfId="0" applyNumberFormat="1" applyFont="1" applyAlignment="1">
      <alignment/>
    </xf>
    <xf numFmtId="2" fontId="14" fillId="0" borderId="5" xfId="0" applyNumberFormat="1" applyFont="1" applyBorder="1" applyAlignment="1">
      <alignment horizontal="centerContinuous"/>
    </xf>
    <xf numFmtId="2" fontId="14" fillId="0" borderId="6" xfId="0" applyNumberFormat="1" applyFont="1" applyBorder="1" applyAlignment="1">
      <alignment horizontal="centerContinuous"/>
    </xf>
    <xf numFmtId="2" fontId="14" fillId="0" borderId="4" xfId="0" applyNumberFormat="1" applyFont="1" applyBorder="1" applyAlignment="1">
      <alignment horizontal="center"/>
    </xf>
    <xf numFmtId="0" fontId="16" fillId="0" borderId="0" xfId="0" applyFont="1" applyAlignment="1">
      <alignment/>
    </xf>
    <xf numFmtId="0" fontId="12" fillId="0" borderId="0" xfId="0" applyFont="1" applyAlignment="1">
      <alignment horizontal="center"/>
    </xf>
    <xf numFmtId="0" fontId="0" fillId="0" borderId="0" xfId="0" applyAlignment="1">
      <alignment horizontal="center"/>
    </xf>
    <xf numFmtId="0" fontId="17" fillId="0" borderId="0" xfId="0" applyFont="1" applyAlignment="1">
      <alignment/>
    </xf>
    <xf numFmtId="0" fontId="2" fillId="0" borderId="0" xfId="0" applyFont="1" applyAlignment="1">
      <alignment/>
    </xf>
    <xf numFmtId="0" fontId="8" fillId="0" borderId="1" xfId="0" applyFont="1" applyBorder="1" applyAlignment="1">
      <alignment/>
    </xf>
    <xf numFmtId="10" fontId="8" fillId="0" borderId="0" xfId="0" applyNumberFormat="1" applyFont="1" applyAlignment="1">
      <alignment/>
    </xf>
    <xf numFmtId="3" fontId="6" fillId="0" borderId="1" xfId="0" applyNumberFormat="1" applyFont="1" applyBorder="1" applyAlignment="1">
      <alignment/>
    </xf>
    <xf numFmtId="10" fontId="8" fillId="0" borderId="1" xfId="0" applyNumberFormat="1" applyFont="1" applyBorder="1" applyAlignment="1">
      <alignment/>
    </xf>
    <xf numFmtId="181" fontId="8" fillId="0" borderId="1" xfId="15" applyNumberFormat="1" applyFont="1" applyBorder="1" applyAlignment="1">
      <alignment/>
    </xf>
    <xf numFmtId="180" fontId="6" fillId="0" borderId="7" xfId="0" applyNumberFormat="1" applyFont="1" applyBorder="1" applyAlignment="1">
      <alignment/>
    </xf>
    <xf numFmtId="6" fontId="6" fillId="0" borderId="1" xfId="16" applyNumberFormat="1" applyFont="1" applyBorder="1" applyAlignment="1">
      <alignment/>
    </xf>
    <xf numFmtId="10" fontId="6" fillId="0" borderId="0" xfId="19" applyNumberFormat="1" applyFont="1" applyAlignment="1">
      <alignment/>
    </xf>
    <xf numFmtId="8" fontId="6" fillId="0" borderId="0" xfId="0" applyNumberFormat="1" applyFont="1" applyAlignment="1">
      <alignment/>
    </xf>
    <xf numFmtId="8" fontId="6" fillId="0" borderId="0" xfId="16" applyFont="1" applyAlignment="1">
      <alignment/>
    </xf>
    <xf numFmtId="10" fontId="6" fillId="2" borderId="2" xfId="0" applyNumberFormat="1" applyFont="1" applyFill="1" applyBorder="1" applyAlignment="1">
      <alignment horizontal="center"/>
    </xf>
    <xf numFmtId="8" fontId="6" fillId="2" borderId="1" xfId="16" applyFont="1" applyFill="1" applyBorder="1" applyAlignment="1">
      <alignment/>
    </xf>
    <xf numFmtId="0" fontId="6" fillId="2" borderId="1" xfId="0" applyFont="1" applyFill="1" applyBorder="1" applyAlignment="1">
      <alignment horizontal="center"/>
    </xf>
    <xf numFmtId="44" fontId="6" fillId="2" borderId="1" xfId="0" applyNumberFormat="1" applyFont="1" applyFill="1" applyBorder="1" applyAlignment="1">
      <alignment/>
    </xf>
    <xf numFmtId="44" fontId="6" fillId="2" borderId="4" xfId="0" applyNumberFormat="1" applyFont="1" applyFill="1" applyBorder="1" applyAlignment="1">
      <alignment/>
    </xf>
    <xf numFmtId="8" fontId="6" fillId="2" borderId="4" xfId="16" applyFont="1" applyFill="1" applyBorder="1" applyAlignment="1">
      <alignment/>
    </xf>
    <xf numFmtId="0" fontId="6" fillId="2" borderId="2" xfId="0" applyFont="1" applyFill="1" applyBorder="1" applyAlignment="1">
      <alignment/>
    </xf>
    <xf numFmtId="44" fontId="6" fillId="2" borderId="2" xfId="0" applyNumberFormat="1" applyFont="1" applyFill="1" applyBorder="1" applyAlignment="1">
      <alignment/>
    </xf>
    <xf numFmtId="8" fontId="6" fillId="2" borderId="3" xfId="0" applyNumberFormat="1" applyFont="1" applyFill="1" applyBorder="1" applyAlignment="1">
      <alignment/>
    </xf>
    <xf numFmtId="44" fontId="6" fillId="2" borderId="3" xfId="0" applyNumberFormat="1" applyFont="1" applyFill="1" applyBorder="1" applyAlignment="1">
      <alignment/>
    </xf>
    <xf numFmtId="8" fontId="6" fillId="2" borderId="1" xfId="16" applyFont="1" applyFill="1" applyBorder="1" applyAlignment="1">
      <alignment horizontal="center"/>
    </xf>
    <xf numFmtId="10" fontId="6" fillId="2" borderId="1" xfId="16" applyNumberFormat="1" applyFont="1" applyFill="1" applyBorder="1" applyAlignment="1">
      <alignment horizontal="center"/>
    </xf>
    <xf numFmtId="8" fontId="6" fillId="3" borderId="1" xfId="16" applyFont="1" applyFill="1" applyBorder="1" applyAlignment="1">
      <alignment horizontal="center"/>
    </xf>
    <xf numFmtId="10" fontId="6" fillId="3" borderId="1" xfId="16" applyNumberFormat="1" applyFont="1" applyFill="1" applyBorder="1" applyAlignment="1">
      <alignment horizontal="center"/>
    </xf>
    <xf numFmtId="0" fontId="6" fillId="3" borderId="1" xfId="0" applyFont="1" applyFill="1" applyBorder="1" applyAlignment="1">
      <alignment/>
    </xf>
    <xf numFmtId="0" fontId="6" fillId="3" borderId="1" xfId="0" applyFont="1" applyFill="1" applyBorder="1" applyAlignment="1">
      <alignment horizontal="center"/>
    </xf>
    <xf numFmtId="10" fontId="6" fillId="3" borderId="1" xfId="0" applyNumberFormat="1" applyFont="1" applyFill="1" applyBorder="1" applyAlignment="1">
      <alignment horizontal="center"/>
    </xf>
    <xf numFmtId="0" fontId="6" fillId="0" borderId="0" xfId="0" applyFont="1" applyFill="1" applyAlignment="1">
      <alignment/>
    </xf>
    <xf numFmtId="9" fontId="6" fillId="3" borderId="1" xfId="0" applyNumberFormat="1" applyFont="1" applyFill="1" applyBorder="1" applyAlignment="1">
      <alignment horizontal="center"/>
    </xf>
    <xf numFmtId="8" fontId="6" fillId="3" borderId="1" xfId="16" applyFont="1" applyFill="1" applyBorder="1" applyAlignment="1">
      <alignment/>
    </xf>
    <xf numFmtId="2" fontId="14" fillId="3" borderId="1" xfId="0" applyNumberFormat="1" applyFont="1" applyFill="1" applyBorder="1" applyAlignment="1">
      <alignment horizontal="center"/>
    </xf>
    <xf numFmtId="44" fontId="6" fillId="3" borderId="1" xfId="16" applyNumberFormat="1" applyFont="1" applyFill="1" applyBorder="1" applyAlignment="1">
      <alignment/>
    </xf>
    <xf numFmtId="2" fontId="6" fillId="3" borderId="1" xfId="0" applyNumberFormat="1" applyFont="1" applyFill="1" applyBorder="1" applyAlignment="1">
      <alignment horizontal="center"/>
    </xf>
    <xf numFmtId="0" fontId="6" fillId="3" borderId="4" xfId="0" applyFont="1" applyFill="1" applyBorder="1" applyAlignment="1">
      <alignment horizontal="center"/>
    </xf>
    <xf numFmtId="10" fontId="6" fillId="2" borderId="1" xfId="0" applyNumberFormat="1" applyFont="1" applyFill="1" applyBorder="1" applyAlignment="1">
      <alignment horizontal="center"/>
    </xf>
    <xf numFmtId="8" fontId="8" fillId="0" borderId="0" xfId="16" applyFont="1" applyFill="1" applyBorder="1" applyAlignment="1">
      <alignment horizontal="center"/>
    </xf>
    <xf numFmtId="8" fontId="9" fillId="0" borderId="0" xfId="16" applyFont="1" applyFill="1" applyBorder="1" applyAlignment="1">
      <alignment horizontal="center"/>
    </xf>
    <xf numFmtId="8" fontId="6" fillId="2" borderId="1" xfId="0" applyNumberFormat="1" applyFont="1" applyFill="1" applyBorder="1" applyAlignment="1">
      <alignment/>
    </xf>
    <xf numFmtId="8" fontId="6" fillId="2" borderId="1" xfId="0" applyNumberFormat="1" applyFont="1" applyFill="1" applyBorder="1" applyAlignment="1">
      <alignment horizontal="center"/>
    </xf>
    <xf numFmtId="0" fontId="6" fillId="0" borderId="0" xfId="0" applyFont="1" applyFill="1" applyBorder="1" applyAlignment="1">
      <alignment horizontal="center"/>
    </xf>
    <xf numFmtId="10" fontId="6" fillId="2" borderId="1" xfId="19" applyNumberFormat="1" applyFont="1" applyFill="1" applyBorder="1" applyAlignment="1">
      <alignment horizontal="center"/>
    </xf>
    <xf numFmtId="0" fontId="6" fillId="2" borderId="1" xfId="0" applyNumberFormat="1" applyFont="1" applyFill="1" applyBorder="1" applyAlignment="1">
      <alignment horizontal="center"/>
    </xf>
    <xf numFmtId="10" fontId="6" fillId="3" borderId="1" xfId="19" applyNumberFormat="1" applyFont="1" applyFill="1" applyBorder="1" applyAlignment="1">
      <alignment horizontal="center"/>
    </xf>
    <xf numFmtId="10" fontId="6" fillId="3" borderId="1" xfId="19" applyNumberFormat="1" applyFont="1" applyFill="1" applyBorder="1" applyAlignment="1">
      <alignment/>
    </xf>
    <xf numFmtId="4" fontId="6" fillId="2" borderId="1" xfId="15" applyFont="1" applyFill="1" applyBorder="1" applyAlignment="1">
      <alignment horizontal="center"/>
    </xf>
    <xf numFmtId="2" fontId="6" fillId="2" borderId="1" xfId="0" applyNumberFormat="1" applyFont="1" applyFill="1" applyBorder="1" applyAlignment="1">
      <alignment horizontal="center"/>
    </xf>
    <xf numFmtId="0" fontId="18" fillId="0" borderId="0" xfId="0" applyFont="1" applyAlignment="1">
      <alignment/>
    </xf>
    <xf numFmtId="0" fontId="9" fillId="2" borderId="1" xfId="0" applyFont="1" applyFill="1" applyBorder="1" applyAlignment="1">
      <alignment horizontal="center"/>
    </xf>
    <xf numFmtId="0" fontId="6" fillId="2" borderId="1" xfId="0" applyFont="1" applyFill="1" applyBorder="1" applyAlignment="1">
      <alignment/>
    </xf>
    <xf numFmtId="8" fontId="8" fillId="2" borderId="1" xfId="16" applyFont="1" applyFill="1" applyBorder="1" applyAlignment="1">
      <alignment horizontal="center"/>
    </xf>
    <xf numFmtId="0" fontId="6" fillId="2" borderId="1" xfId="0" applyFont="1" applyFill="1" applyBorder="1" applyAlignment="1">
      <alignment horizontal="left"/>
    </xf>
    <xf numFmtId="10" fontId="6" fillId="2" borderId="8" xfId="0" applyNumberFormat="1" applyFont="1" applyFill="1" applyBorder="1" applyAlignment="1">
      <alignment horizontal="center"/>
    </xf>
    <xf numFmtId="10" fontId="6" fillId="2" borderId="1" xfId="19" applyNumberFormat="1" applyFont="1" applyFill="1" applyBorder="1" applyAlignment="1">
      <alignment/>
    </xf>
    <xf numFmtId="10" fontId="6" fillId="2" borderId="1" xfId="0" applyNumberFormat="1" applyFont="1" applyFill="1" applyBorder="1" applyAlignment="1">
      <alignment/>
    </xf>
    <xf numFmtId="2" fontId="6" fillId="2" borderId="1" xfId="0" applyNumberFormat="1" applyFont="1" applyFill="1" applyBorder="1" applyAlignment="1">
      <alignment/>
    </xf>
    <xf numFmtId="4" fontId="6" fillId="2" borderId="1" xfId="0" applyNumberFormat="1" applyFont="1" applyFill="1" applyBorder="1" applyAlignment="1">
      <alignment/>
    </xf>
    <xf numFmtId="10" fontId="6" fillId="0" borderId="0" xfId="0" applyNumberFormat="1" applyFont="1" applyFill="1" applyBorder="1" applyAlignment="1">
      <alignment horizontal="center"/>
    </xf>
    <xf numFmtId="0" fontId="21" fillId="0" borderId="0" xfId="0" applyFont="1" applyAlignment="1">
      <alignment/>
    </xf>
    <xf numFmtId="8" fontId="6" fillId="0" borderId="2" xfId="16" applyFont="1" applyBorder="1" applyAlignment="1">
      <alignment/>
    </xf>
    <xf numFmtId="0" fontId="22" fillId="0" borderId="0" xfId="0" applyFont="1" applyAlignment="1">
      <alignment/>
    </xf>
    <xf numFmtId="8" fontId="14" fillId="0" borderId="1" xfId="16" applyFont="1" applyBorder="1" applyAlignment="1">
      <alignment/>
    </xf>
    <xf numFmtId="8" fontId="14" fillId="0" borderId="4" xfId="16" applyFont="1" applyBorder="1" applyAlignment="1">
      <alignment/>
    </xf>
    <xf numFmtId="9" fontId="6" fillId="3" borderId="1" xfId="19" applyFont="1" applyFill="1" applyBorder="1" applyAlignment="1">
      <alignment horizontal="center"/>
    </xf>
    <xf numFmtId="178" fontId="6" fillId="2" borderId="1" xfId="19" applyNumberFormat="1" applyFont="1" applyFill="1" applyBorder="1" applyAlignment="1">
      <alignment horizontal="center"/>
    </xf>
    <xf numFmtId="6" fontId="8" fillId="2" borderId="1" xfId="16" applyNumberFormat="1" applyFont="1" applyFill="1" applyBorder="1" applyAlignment="1">
      <alignment horizontal="center"/>
    </xf>
    <xf numFmtId="0" fontId="6" fillId="3" borderId="0" xfId="0" applyFont="1" applyFill="1" applyBorder="1" applyAlignment="1">
      <alignment horizontal="center"/>
    </xf>
    <xf numFmtId="0" fontId="6" fillId="0" borderId="0" xfId="0" applyFont="1" applyFill="1" applyBorder="1" applyAlignment="1">
      <alignment/>
    </xf>
    <xf numFmtId="10" fontId="0" fillId="0" borderId="0" xfId="0" applyNumberFormat="1" applyAlignment="1">
      <alignment/>
    </xf>
    <xf numFmtId="8" fontId="0" fillId="0" borderId="0" xfId="0" applyNumberFormat="1" applyAlignment="1">
      <alignment/>
    </xf>
    <xf numFmtId="10" fontId="6" fillId="3" borderId="4" xfId="0" applyNumberFormat="1" applyFont="1" applyFill="1" applyBorder="1" applyAlignment="1">
      <alignment horizontal="center"/>
    </xf>
    <xf numFmtId="0" fontId="6" fillId="2" borderId="0" xfId="0" applyFont="1" applyFill="1" applyAlignment="1">
      <alignment/>
    </xf>
    <xf numFmtId="188" fontId="6" fillId="0" borderId="0" xfId="0" applyNumberFormat="1" applyFont="1" applyAlignment="1">
      <alignment/>
    </xf>
    <xf numFmtId="188" fontId="6" fillId="0" borderId="0" xfId="16" applyNumberFormat="1" applyFont="1" applyBorder="1" applyAlignment="1">
      <alignment horizontal="center"/>
    </xf>
    <xf numFmtId="188" fontId="6" fillId="0" borderId="0" xfId="0" applyNumberFormat="1" applyFont="1" applyBorder="1" applyAlignment="1">
      <alignment/>
    </xf>
    <xf numFmtId="188" fontId="6" fillId="3" borderId="1" xfId="0" applyNumberFormat="1" applyFont="1" applyFill="1" applyBorder="1" applyAlignment="1">
      <alignment horizontal="center"/>
    </xf>
    <xf numFmtId="187" fontId="6" fillId="3" borderId="1" xfId="16" applyNumberFormat="1" applyFont="1" applyFill="1" applyBorder="1" applyAlignment="1">
      <alignment horizontal="center"/>
    </xf>
    <xf numFmtId="10" fontId="6" fillId="0" borderId="0" xfId="0" applyNumberFormat="1" applyFont="1" applyAlignment="1">
      <alignment/>
    </xf>
    <xf numFmtId="0" fontId="6" fillId="0" borderId="1" xfId="0" applyFont="1" applyFill="1" applyBorder="1" applyAlignment="1">
      <alignment/>
    </xf>
    <xf numFmtId="188" fontId="6" fillId="0" borderId="0" xfId="0" applyNumberFormat="1" applyFont="1" applyFill="1" applyBorder="1" applyAlignment="1">
      <alignment horizontal="center"/>
    </xf>
    <xf numFmtId="180" fontId="22" fillId="0" borderId="0" xfId="0" applyNumberFormat="1" applyFont="1" applyAlignment="1">
      <alignment/>
    </xf>
    <xf numFmtId="0" fontId="0" fillId="0" borderId="1" xfId="0" applyBorder="1" applyAlignment="1">
      <alignment horizontal="center"/>
    </xf>
    <xf numFmtId="9" fontId="0" fillId="0" borderId="1" xfId="0" applyNumberFormat="1" applyBorder="1" applyAlignment="1">
      <alignment horizontal="center"/>
    </xf>
    <xf numFmtId="10" fontId="0" fillId="0" borderId="1" xfId="0" applyNumberFormat="1" applyBorder="1" applyAlignment="1">
      <alignment horizontal="center"/>
    </xf>
    <xf numFmtId="0" fontId="6" fillId="0" borderId="0" xfId="0" applyFont="1" applyAlignment="1" quotePrefix="1">
      <alignment/>
    </xf>
    <xf numFmtId="2" fontId="6" fillId="3" borderId="1" xfId="16" applyNumberFormat="1" applyFont="1" applyFill="1" applyBorder="1" applyAlignment="1">
      <alignment horizontal="center"/>
    </xf>
    <xf numFmtId="188" fontId="0" fillId="0" borderId="0" xfId="0" applyNumberFormat="1" applyAlignment="1">
      <alignment/>
    </xf>
    <xf numFmtId="0" fontId="29" fillId="0" borderId="0" xfId="0" applyFont="1" applyAlignment="1">
      <alignment/>
    </xf>
    <xf numFmtId="10" fontId="6" fillId="3" borderId="1" xfId="16" applyNumberFormat="1" applyFont="1" applyFill="1" applyBorder="1" applyAlignment="1">
      <alignment horizontal="center"/>
    </xf>
    <xf numFmtId="0" fontId="0" fillId="0" borderId="1" xfId="0" applyBorder="1" applyAlignment="1">
      <alignment/>
    </xf>
    <xf numFmtId="10" fontId="0" fillId="0" borderId="9" xfId="0" applyNumberFormat="1" applyFill="1" applyBorder="1" applyAlignment="1">
      <alignment horizontal="center"/>
    </xf>
    <xf numFmtId="10" fontId="0" fillId="0" borderId="0" xfId="0" applyNumberFormat="1" applyAlignment="1">
      <alignment/>
    </xf>
    <xf numFmtId="10" fontId="0" fillId="0" borderId="1" xfId="0" applyNumberFormat="1"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10" fontId="0" fillId="0" borderId="1" xfId="0" applyNumberFormat="1" applyBorder="1" applyAlignment="1">
      <alignment/>
    </xf>
    <xf numFmtId="2" fontId="0" fillId="0" borderId="1" xfId="0" applyNumberFormat="1" applyBorder="1" applyAlignment="1">
      <alignment horizontal="center"/>
    </xf>
    <xf numFmtId="10" fontId="0" fillId="0" borderId="1" xfId="0" applyNumberFormat="1" applyFill="1" applyBorder="1" applyAlignment="1">
      <alignment horizontal="center"/>
    </xf>
    <xf numFmtId="194" fontId="0" fillId="0" borderId="1" xfId="0" applyNumberFormat="1" applyBorder="1" applyAlignment="1">
      <alignment horizontal="center"/>
    </xf>
    <xf numFmtId="194" fontId="0" fillId="0" borderId="1" xfId="0" applyNumberFormat="1" applyFill="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2" fontId="27" fillId="0" borderId="1" xfId="0" applyNumberFormat="1" applyFont="1" applyBorder="1" applyAlignment="1">
      <alignment/>
    </xf>
    <xf numFmtId="0" fontId="10" fillId="0" borderId="1" xfId="0" applyFont="1" applyBorder="1" applyAlignment="1">
      <alignment/>
    </xf>
    <xf numFmtId="0" fontId="10" fillId="0" borderId="1" xfId="0" applyFont="1" applyBorder="1" applyAlignment="1">
      <alignment horizontal="center"/>
    </xf>
    <xf numFmtId="2" fontId="10" fillId="0" borderId="1" xfId="0" applyNumberFormat="1" applyFont="1" applyBorder="1" applyAlignment="1">
      <alignment horizontal="center"/>
    </xf>
    <xf numFmtId="10" fontId="10" fillId="0" borderId="1" xfId="0" applyNumberFormat="1" applyFont="1" applyBorder="1" applyAlignment="1">
      <alignment horizontal="center"/>
    </xf>
    <xf numFmtId="0" fontId="11" fillId="0" borderId="1" xfId="0" applyFont="1" applyBorder="1" applyAlignment="1">
      <alignment/>
    </xf>
    <xf numFmtId="0" fontId="11" fillId="0" borderId="1" xfId="0" applyFont="1" applyBorder="1" applyAlignment="1">
      <alignment horizontal="center"/>
    </xf>
    <xf numFmtId="2" fontId="11" fillId="0" borderId="1" xfId="0" applyNumberFormat="1" applyFont="1" applyBorder="1" applyAlignment="1">
      <alignment horizontal="center"/>
    </xf>
    <xf numFmtId="10" fontId="11" fillId="0" borderId="1" xfId="0" applyNumberFormat="1" applyFont="1" applyBorder="1" applyAlignment="1">
      <alignment horizontal="center"/>
    </xf>
    <xf numFmtId="0" fontId="12" fillId="0" borderId="0" xfId="0" applyFont="1" applyAlignment="1">
      <alignment horizontal="center"/>
    </xf>
    <xf numFmtId="195" fontId="6" fillId="3" borderId="1" xfId="16" applyNumberFormat="1" applyFont="1" applyFill="1" applyBorder="1" applyAlignment="1">
      <alignment horizontal="center"/>
    </xf>
    <xf numFmtId="195" fontId="6" fillId="3" borderId="1" xfId="0" applyNumberFormat="1" applyFont="1" applyFill="1" applyBorder="1" applyAlignment="1">
      <alignment/>
    </xf>
    <xf numFmtId="195" fontId="6" fillId="0" borderId="0" xfId="0" applyNumberFormat="1" applyFont="1" applyAlignment="1">
      <alignment/>
    </xf>
    <xf numFmtId="195" fontId="6" fillId="0" borderId="0" xfId="0" applyNumberFormat="1" applyFont="1" applyAlignment="1">
      <alignment horizontal="center"/>
    </xf>
    <xf numFmtId="195" fontId="6" fillId="3" borderId="1" xfId="16" applyNumberFormat="1" applyFont="1" applyFill="1" applyBorder="1" applyAlignment="1">
      <alignment horizontal="center"/>
    </xf>
    <xf numFmtId="195" fontId="6" fillId="3" borderId="1" xfId="0" applyNumberFormat="1" applyFont="1" applyFill="1" applyBorder="1" applyAlignment="1">
      <alignment/>
    </xf>
    <xf numFmtId="195" fontId="6" fillId="2" borderId="1" xfId="16" applyNumberFormat="1" applyFont="1" applyFill="1" applyBorder="1" applyAlignment="1">
      <alignment horizontal="center"/>
    </xf>
    <xf numFmtId="195" fontId="6" fillId="2" borderId="1" xfId="0" applyNumberFormat="1" applyFont="1" applyFill="1" applyBorder="1" applyAlignment="1">
      <alignment horizontal="center"/>
    </xf>
    <xf numFmtId="195" fontId="19" fillId="0" borderId="1" xfId="16" applyNumberFormat="1" applyFont="1" applyBorder="1" applyAlignment="1">
      <alignment horizontal="center"/>
    </xf>
    <xf numFmtId="195" fontId="19" fillId="0" borderId="8" xfId="16" applyNumberFormat="1" applyFont="1" applyBorder="1" applyAlignment="1">
      <alignment horizontal="center"/>
    </xf>
    <xf numFmtId="195" fontId="19" fillId="0" borderId="9" xfId="16" applyNumberFormat="1" applyFont="1" applyBorder="1" applyAlignment="1">
      <alignment horizontal="center"/>
    </xf>
    <xf numFmtId="195" fontId="5" fillId="0" borderId="2" xfId="0" applyNumberFormat="1" applyFont="1" applyBorder="1" applyAlignment="1">
      <alignment horizontal="center"/>
    </xf>
    <xf numFmtId="196" fontId="6" fillId="3" borderId="1" xfId="16" applyNumberFormat="1" applyFont="1" applyFill="1" applyBorder="1" applyAlignment="1">
      <alignment horizontal="center"/>
    </xf>
    <xf numFmtId="2" fontId="6" fillId="3" borderId="1" xfId="15" applyNumberFormat="1" applyFont="1" applyFill="1" applyBorder="1" applyAlignment="1">
      <alignment horizontal="center"/>
    </xf>
    <xf numFmtId="10" fontId="6" fillId="3" borderId="1" xfId="0" applyNumberFormat="1" applyFont="1" applyFill="1" applyBorder="1" applyAlignment="1">
      <alignment horizontal="center"/>
    </xf>
    <xf numFmtId="195" fontId="6" fillId="4" borderId="1" xfId="0" applyNumberFormat="1" applyFont="1" applyFill="1" applyBorder="1" applyAlignment="1">
      <alignment horizontal="center"/>
    </xf>
    <xf numFmtId="10" fontId="6" fillId="2" borderId="1" xfId="16" applyNumberFormat="1" applyFont="1" applyFill="1" applyBorder="1" applyAlignment="1">
      <alignment horizontal="center"/>
    </xf>
    <xf numFmtId="10" fontId="6" fillId="4" borderId="1" xfId="0" applyNumberFormat="1" applyFont="1" applyFill="1" applyBorder="1" applyAlignment="1">
      <alignment horizontal="center"/>
    </xf>
    <xf numFmtId="196" fontId="6" fillId="2" borderId="1" xfId="16" applyNumberFormat="1" applyFont="1" applyFill="1" applyBorder="1" applyAlignment="1">
      <alignment horizontal="center"/>
    </xf>
    <xf numFmtId="196" fontId="8" fillId="2" borderId="1" xfId="16" applyNumberFormat="1" applyFont="1" applyFill="1" applyBorder="1" applyAlignment="1">
      <alignment horizontal="center"/>
    </xf>
    <xf numFmtId="192" fontId="0" fillId="0" borderId="1" xfId="0" applyNumberFormat="1" applyBorder="1" applyAlignment="1">
      <alignment horizontal="center"/>
    </xf>
    <xf numFmtId="192" fontId="0" fillId="0" borderId="1" xfId="0" applyNumberFormat="1" applyBorder="1" applyAlignment="1">
      <alignment/>
    </xf>
    <xf numFmtId="1" fontId="0" fillId="0" borderId="1" xfId="0" applyNumberFormat="1" applyBorder="1" applyAlignment="1">
      <alignment/>
    </xf>
    <xf numFmtId="0" fontId="0" fillId="0" borderId="9" xfId="0" applyFill="1" applyBorder="1" applyAlignment="1">
      <alignment/>
    </xf>
    <xf numFmtId="10" fontId="0" fillId="0" borderId="1" xfId="0" applyNumberFormat="1" applyBorder="1" applyAlignment="1">
      <alignment/>
    </xf>
    <xf numFmtId="1" fontId="0" fillId="0" borderId="0" xfId="0" applyNumberFormat="1" applyAlignment="1">
      <alignment/>
    </xf>
    <xf numFmtId="198" fontId="6" fillId="3" borderId="1" xfId="0" applyNumberFormat="1" applyFont="1" applyFill="1" applyBorder="1" applyAlignment="1">
      <alignment/>
    </xf>
    <xf numFmtId="198" fontId="6" fillId="3" borderId="1" xfId="0" applyNumberFormat="1" applyFont="1" applyFill="1" applyBorder="1" applyAlignment="1">
      <alignment horizontal="center"/>
    </xf>
    <xf numFmtId="198" fontId="6" fillId="0" borderId="1" xfId="0" applyNumberFormat="1" applyFont="1" applyBorder="1" applyAlignment="1">
      <alignment/>
    </xf>
    <xf numFmtId="180" fontId="0" fillId="0" borderId="1" xfId="0" applyNumberFormat="1" applyBorder="1" applyAlignment="1">
      <alignment horizontal="center"/>
    </xf>
    <xf numFmtId="0" fontId="23"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cellXfs>
  <cellStyles count="6">
    <cellStyle name="Normal" xfId="0"/>
    <cellStyle name="Comma" xfId="15"/>
    <cellStyle name="Currency" xfId="16"/>
    <cellStyle name="Followed Hyperlink" xfId="17"/>
    <cellStyle name="Hyperlink" xfId="18"/>
    <cellStyle name="Percent" xfId="19"/>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F22"/>
  <sheetViews>
    <sheetView workbookViewId="0" topLeftCell="A1">
      <selection activeCell="A1" sqref="A1:F1"/>
    </sheetView>
  </sheetViews>
  <sheetFormatPr defaultColWidth="11.00390625" defaultRowHeight="12.75"/>
  <cols>
    <col min="1" max="1" width="12.875" style="115" bestFit="1" customWidth="1"/>
    <col min="2" max="2" width="65.125" style="4" bestFit="1" customWidth="1"/>
  </cols>
  <sheetData>
    <row r="1" spans="1:6" s="104" customFormat="1" ht="18">
      <c r="A1" s="200" t="s">
        <v>224</v>
      </c>
      <c r="B1" s="200"/>
      <c r="C1" s="200"/>
      <c r="D1" s="200"/>
      <c r="E1" s="200"/>
      <c r="F1" s="200"/>
    </row>
    <row r="2" spans="1:2" ht="12.75">
      <c r="A2" s="115" t="s">
        <v>161</v>
      </c>
      <c r="B2" s="4" t="s">
        <v>33</v>
      </c>
    </row>
    <row r="3" ht="12.75">
      <c r="B3" s="4" t="s">
        <v>34</v>
      </c>
    </row>
    <row r="4" spans="1:2" ht="12.75">
      <c r="A4" s="115" t="s">
        <v>26</v>
      </c>
      <c r="B4" s="4" t="s">
        <v>10</v>
      </c>
    </row>
    <row r="5" ht="12.75">
      <c r="B5" s="4" t="s">
        <v>411</v>
      </c>
    </row>
    <row r="6" spans="1:2" ht="12.75">
      <c r="A6" s="115" t="s">
        <v>141</v>
      </c>
      <c r="B6" s="4" t="s">
        <v>412</v>
      </c>
    </row>
    <row r="7" ht="12.75">
      <c r="B7" s="4" t="s">
        <v>166</v>
      </c>
    </row>
    <row r="8" ht="12.75">
      <c r="B8" s="4" t="s">
        <v>342</v>
      </c>
    </row>
    <row r="9" ht="12.75">
      <c r="B9" s="4" t="s">
        <v>167</v>
      </c>
    </row>
    <row r="10" ht="12.75">
      <c r="B10" s="4" t="s">
        <v>475</v>
      </c>
    </row>
    <row r="11" ht="12.75">
      <c r="B11" s="4" t="s">
        <v>137</v>
      </c>
    </row>
    <row r="12" spans="1:2" ht="12.75">
      <c r="A12" s="115" t="s">
        <v>234</v>
      </c>
      <c r="B12" s="4" t="s">
        <v>108</v>
      </c>
    </row>
    <row r="13" ht="12.75">
      <c r="B13" s="4" t="s">
        <v>489</v>
      </c>
    </row>
    <row r="14" ht="12.75">
      <c r="B14" s="4" t="s">
        <v>449</v>
      </c>
    </row>
    <row r="15" ht="12.75">
      <c r="B15" s="4" t="s">
        <v>160</v>
      </c>
    </row>
    <row r="16" ht="12.75">
      <c r="B16" s="4" t="s">
        <v>91</v>
      </c>
    </row>
    <row r="17" spans="1:2" ht="12.75">
      <c r="A17" s="115" t="s">
        <v>476</v>
      </c>
      <c r="B17" s="4" t="s">
        <v>491</v>
      </c>
    </row>
    <row r="18" ht="12.75">
      <c r="B18" s="4" t="s">
        <v>92</v>
      </c>
    </row>
    <row r="19" ht="12.75">
      <c r="B19" s="4" t="s">
        <v>93</v>
      </c>
    </row>
    <row r="20" ht="12.75">
      <c r="B20" s="4" t="s">
        <v>183</v>
      </c>
    </row>
    <row r="21" ht="12.75">
      <c r="B21" s="4" t="s">
        <v>447</v>
      </c>
    </row>
    <row r="22" spans="1:2" ht="12.75">
      <c r="A22" s="115" t="s">
        <v>515</v>
      </c>
      <c r="B22" s="4" t="s">
        <v>115</v>
      </c>
    </row>
  </sheetData>
  <mergeCells count="1">
    <mergeCell ref="A1:F1"/>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S81"/>
  <sheetViews>
    <sheetView showGridLines="0" zoomScale="150" zoomScaleNormal="150" workbookViewId="0" topLeftCell="A58">
      <selection activeCell="F75" sqref="F75"/>
    </sheetView>
  </sheetViews>
  <sheetFormatPr defaultColWidth="11.00390625" defaultRowHeight="12.75"/>
  <cols>
    <col min="1" max="1" width="2.75390625" style="0" customWidth="1"/>
    <col min="2" max="2" width="14.75390625" style="0" customWidth="1"/>
    <col min="3" max="8" width="12.75390625" style="0" customWidth="1"/>
  </cols>
  <sheetData>
    <row r="1" spans="2:10" s="104" customFormat="1" ht="18">
      <c r="B1" s="201" t="s">
        <v>493</v>
      </c>
      <c r="C1" s="201"/>
      <c r="D1" s="201"/>
      <c r="E1" s="201"/>
      <c r="F1" s="201"/>
      <c r="G1" s="201"/>
      <c r="H1" s="201"/>
      <c r="I1" s="201"/>
      <c r="J1" s="201"/>
    </row>
    <row r="2" spans="2:10" s="104" customFormat="1" ht="18">
      <c r="B2" s="54"/>
      <c r="C2" s="54"/>
      <c r="D2" s="169" t="s">
        <v>457</v>
      </c>
      <c r="E2" s="54" t="s">
        <v>154</v>
      </c>
      <c r="F2" s="54"/>
      <c r="G2" s="54"/>
      <c r="H2" s="54"/>
      <c r="I2" s="54"/>
      <c r="J2" s="54"/>
    </row>
    <row r="3" spans="1:9" s="4" customFormat="1" ht="19.5" customHeight="1">
      <c r="A3" s="5"/>
      <c r="B3" s="18" t="s">
        <v>65</v>
      </c>
      <c r="C3" s="5"/>
      <c r="D3" s="176">
        <f>IF('Master Inputs Start here'!B6="Yes",'Earnings Normalizer'!D14,'Master Inputs Start here'!B10)</f>
        <v>25464.195839159267</v>
      </c>
      <c r="E3" s="185">
        <f>D3/'Master Inputs Start here'!$B$40</f>
        <v>25464.195839159267</v>
      </c>
      <c r="F3" s="5"/>
      <c r="G3" s="5" t="s">
        <v>239</v>
      </c>
      <c r="H3" s="5"/>
      <c r="I3" s="5"/>
    </row>
    <row r="4" spans="2:6" s="4" customFormat="1" ht="19.5" customHeight="1">
      <c r="B4" s="4" t="s">
        <v>369</v>
      </c>
      <c r="D4" s="176">
        <f>IF('Master Inputs Start here'!B4="Yes",(IF('Master Inputs Start here'!B5="Yes",D3+'R&amp;D converter'!D39+'Operating lease converter'!F34,D3+'R&amp;D converter'!D39)),IF('Master Inputs Start here'!B5="Yes",D3+'Operating lease converter'!F34,D3))</f>
        <v>25464.195839159267</v>
      </c>
      <c r="E4" s="185">
        <f>D4/'Master Inputs Start here'!$B$40</f>
        <v>25464.195839159267</v>
      </c>
      <c r="F4"/>
    </row>
    <row r="5" spans="2:6" s="4" customFormat="1" ht="19.5" customHeight="1">
      <c r="B5" s="4" t="s">
        <v>503</v>
      </c>
      <c r="D5" s="176">
        <f>IF('Master Inputs Start here'!B5="Yes",'Master Inputs Start here'!B11+'Operating lease converter'!C30*'Operating lease converter'!C14,'Master Inputs Start here'!B11)</f>
        <v>6737</v>
      </c>
      <c r="E5" s="185">
        <f>D5/'Master Inputs Start here'!$B$40</f>
        <v>6737</v>
      </c>
      <c r="F5"/>
    </row>
    <row r="6" spans="2:6" s="4" customFormat="1" ht="19.5" customHeight="1">
      <c r="B6" s="4" t="s">
        <v>51</v>
      </c>
      <c r="D6" s="176">
        <f>IF('Master Inputs Start here'!B4="Yes",(IF('Master Inputs Start here'!B5="Yes",'Master Inputs Start here'!B12+'R&amp;D converter'!F7+'Operating lease converter'!E3,'Master Inputs Start here'!B12+'R&amp;D converter'!F7)),(IF('Master Inputs Start here'!B5="Yes",'Master Inputs Start here'!B12+'Operating lease converter'!E3,'Master Inputs Start here'!B12)))</f>
        <v>40291</v>
      </c>
      <c r="E6" s="185">
        <f>D6/'Master Inputs Start here'!$B$40</f>
        <v>40291</v>
      </c>
      <c r="F6"/>
    </row>
    <row r="7" spans="2:6" s="4" customFormat="1" ht="19.5" customHeight="1">
      <c r="B7" s="4" t="s">
        <v>153</v>
      </c>
      <c r="D7" s="176">
        <f>IF('Master Inputs Start here'!B4="Yes",(IF('Master Inputs Start here'!B5="Yes",'Master Inputs Start here'!B13+'R&amp;D converter'!D37+'Operating lease converter'!F33,'Master Inputs Start here'!B13+'R&amp;D converter'!D37)),(IF('Master Inputs Start here'!B5="Yes",'Master Inputs Start here'!B13+'Operating lease converter'!F33,'Master Inputs Start here'!B13)))</f>
        <v>8701</v>
      </c>
      <c r="E7" s="185">
        <f>D7/'Master Inputs Start here'!$B$40</f>
        <v>8701</v>
      </c>
      <c r="F7"/>
    </row>
    <row r="8" spans="2:6" s="4" customFormat="1" ht="19.5" customHeight="1">
      <c r="B8" s="4" t="s">
        <v>424</v>
      </c>
      <c r="D8" s="186">
        <f>'Master Inputs Start here'!B14</f>
        <v>0.21</v>
      </c>
      <c r="E8" s="187">
        <f>D8</f>
        <v>0.21</v>
      </c>
      <c r="F8"/>
    </row>
    <row r="9" spans="2:6" s="4" customFormat="1" ht="19.5" customHeight="1">
      <c r="B9" s="4" t="s">
        <v>346</v>
      </c>
      <c r="D9" s="186">
        <f>'Master Inputs Start here'!B15</f>
        <v>0.3399</v>
      </c>
      <c r="E9" s="187">
        <f>D9</f>
        <v>0.3399</v>
      </c>
      <c r="F9"/>
    </row>
    <row r="10" spans="2:6" s="4" customFormat="1" ht="19.5" customHeight="1">
      <c r="B10" s="4" t="s">
        <v>220</v>
      </c>
      <c r="D10" s="176">
        <f>'Master Inputs Start here'!B16</f>
        <v>265868</v>
      </c>
      <c r="E10" s="185">
        <f>D10/'Master Inputs Start here'!$B$40</f>
        <v>265868</v>
      </c>
      <c r="F10"/>
    </row>
    <row r="11" spans="2:6" s="4" customFormat="1" ht="19.5" customHeight="1">
      <c r="B11" s="4" t="s">
        <v>221</v>
      </c>
      <c r="D11" s="176">
        <f>'Master Inputs Start here'!B17</f>
        <v>-4085</v>
      </c>
      <c r="E11" s="185">
        <f>D11/'Master Inputs Start here'!$B$40</f>
        <v>-4085</v>
      </c>
      <c r="F11" s="125"/>
    </row>
    <row r="12" spans="2:6" s="4" customFormat="1" ht="19.5" customHeight="1">
      <c r="B12" s="4" t="s">
        <v>86</v>
      </c>
      <c r="D12" s="176">
        <f>IF('Master Inputs Start here'!B18&lt;0,('Master Inputs Start here'!B16-'Master Inputs Start here'!C16)*('Master Inputs Start here'!B17/'Master Inputs Start here'!B16),'Master Inputs Start here'!B18)</f>
        <v>2732</v>
      </c>
      <c r="E12" s="185">
        <f>D12/'Master Inputs Start here'!$B$40</f>
        <v>2732</v>
      </c>
      <c r="F12"/>
    </row>
    <row r="13" spans="2:6" s="4" customFormat="1" ht="19.5" customHeight="1">
      <c r="B13" s="4" t="s">
        <v>31</v>
      </c>
      <c r="D13" s="176">
        <f>IF('Master Inputs Start here'!B5="Yes",'Master Inputs Start here'!C19+'Operating lease converter'!F35,'Master Inputs Start here'!C19)</f>
        <v>62805</v>
      </c>
      <c r="E13" s="185">
        <f>D13/'Master Inputs Start here'!$C$40</f>
        <v>62805</v>
      </c>
      <c r="F13"/>
    </row>
    <row r="14" spans="2:6" s="4" customFormat="1" ht="19.5" customHeight="1">
      <c r="B14" s="4" t="s">
        <v>8</v>
      </c>
      <c r="D14" s="176">
        <f>IF('Master Inputs Start here'!B4="Yes",'Master Inputs Start here'!C20+'R&amp;D converter'!D35-'R&amp;D converter'!D24+'R&amp;D converter'!E35,'Master Inputs Start here'!C20)</f>
        <v>78395</v>
      </c>
      <c r="E14" s="185">
        <f>D14/'Master Inputs Start here'!$C$40</f>
        <v>78395</v>
      </c>
      <c r="F14"/>
    </row>
    <row r="15" spans="2:6" s="4" customFormat="1" ht="19.5" customHeight="1">
      <c r="B15" s="4" t="s">
        <v>472</v>
      </c>
      <c r="D15" s="176">
        <f>(D14+D13-'Master Inputs Start here'!C22)</f>
        <v>117227</v>
      </c>
      <c r="E15" s="185">
        <f>D15/'Master Inputs Start here'!$C$40</f>
        <v>117227</v>
      </c>
      <c r="F15"/>
    </row>
    <row r="16" spans="4:5" s="4" customFormat="1" ht="19.5" customHeight="1">
      <c r="D16" s="10"/>
      <c r="E16" s="9"/>
    </row>
    <row r="17" spans="2:5" s="6" customFormat="1" ht="19.5" customHeight="1">
      <c r="B17" s="4" t="s">
        <v>74</v>
      </c>
      <c r="D17" s="70">
        <f>'Master Inputs Start here'!B58</f>
        <v>10</v>
      </c>
      <c r="E17" s="70" t="s">
        <v>75</v>
      </c>
    </row>
    <row r="18" spans="2:5" s="6" customFormat="1" ht="19.5" customHeight="1">
      <c r="B18" s="4" t="s">
        <v>185</v>
      </c>
      <c r="D18" s="98">
        <f>IF('Master Inputs Start here'!B67="Yes",'Valuation Model'!D28*'Valuation Model'!D29,'Master Inputs Start here'!B68)</f>
        <v>0.12012335297376095</v>
      </c>
      <c r="E18" s="92">
        <f>'Master Inputs Start here'!B79</f>
        <v>0.05</v>
      </c>
    </row>
    <row r="19" spans="2:5" s="4" customFormat="1" ht="19.5" customHeight="1">
      <c r="B19" s="4" t="s">
        <v>273</v>
      </c>
      <c r="D19" s="79">
        <f>IF('Master Inputs Start here'!B61="Yes",'Master Inputs Start here'!B62,'Master Inputs Start here'!B63)</f>
        <v>0.25301568406936237</v>
      </c>
      <c r="E19" s="92">
        <f>'Master Inputs Start here'!B82</f>
        <v>0.25301568406936237</v>
      </c>
    </row>
    <row r="20" spans="2:5" s="4" customFormat="1" ht="19.5" customHeight="1">
      <c r="B20" s="4" t="s">
        <v>2</v>
      </c>
      <c r="D20" s="102">
        <f>'Master Inputs Start here'!B59</f>
        <v>1.2</v>
      </c>
      <c r="E20" s="103">
        <f>'Master Inputs Start here'!B80</f>
        <v>1</v>
      </c>
    </row>
    <row r="21" spans="2:5" s="4" customFormat="1" ht="19.5" customHeight="1">
      <c r="B21" s="4" t="s">
        <v>495</v>
      </c>
      <c r="D21" s="102">
        <f>'Master Inputs Start here'!B60</f>
        <v>0.8</v>
      </c>
      <c r="E21" s="103">
        <f>D21</f>
        <v>0.8</v>
      </c>
    </row>
    <row r="22" spans="2:8" s="4" customFormat="1" ht="19.5" customHeight="1">
      <c r="B22" s="4" t="s">
        <v>181</v>
      </c>
      <c r="D22" s="79">
        <f>'Master Inputs Start here'!B37</f>
        <v>0.05</v>
      </c>
      <c r="E22" s="92">
        <f>D22</f>
        <v>0.05</v>
      </c>
      <c r="H22" s="134"/>
    </row>
    <row r="23" spans="2:5" s="4" customFormat="1" ht="19.5" customHeight="1">
      <c r="B23" s="4" t="s">
        <v>130</v>
      </c>
      <c r="D23" s="79">
        <f>'Master Inputs Start here'!B38</f>
        <v>0.045</v>
      </c>
      <c r="E23" s="92">
        <f>D23</f>
        <v>0.045</v>
      </c>
    </row>
    <row r="24" spans="2:5" s="4" customFormat="1" ht="19.5" customHeight="1">
      <c r="B24" s="4" t="s">
        <v>471</v>
      </c>
      <c r="D24" s="79">
        <f>'Master Inputs Start here'!B39</f>
        <v>0.045</v>
      </c>
      <c r="E24" s="98">
        <f>'Master Inputs Start here'!B81</f>
        <v>0.03</v>
      </c>
    </row>
    <row r="25" spans="2:5" s="4" customFormat="1" ht="19.5" customHeight="1">
      <c r="B25" s="4" t="s">
        <v>76</v>
      </c>
      <c r="D25" s="79">
        <f>IF('Master Inputs Start here'!B43="Yes",'Ratings estimator'!D10,'Master Inputs Start here'!B46)</f>
        <v>0.1225</v>
      </c>
      <c r="E25" s="92">
        <f>'Master Inputs Start here'!B83</f>
        <v>0.09</v>
      </c>
    </row>
    <row r="26" spans="2:5" s="4" customFormat="1" ht="19.5" customHeight="1">
      <c r="B26" s="4" t="s">
        <v>351</v>
      </c>
      <c r="D26" s="79">
        <f>D8</f>
        <v>0.21</v>
      </c>
      <c r="E26" s="92">
        <f>'Master Inputs Start here'!B84</f>
        <v>0.3399</v>
      </c>
    </row>
    <row r="27" spans="2:5" s="4" customFormat="1" ht="19.5" customHeight="1">
      <c r="B27" s="4" t="s">
        <v>352</v>
      </c>
      <c r="D27" s="79">
        <f>D9</f>
        <v>0.3399</v>
      </c>
      <c r="E27" s="92">
        <f>D27</f>
        <v>0.3399</v>
      </c>
    </row>
    <row r="28" spans="2:10" s="4" customFormat="1" ht="19.5" customHeight="1">
      <c r="B28" s="4" t="s">
        <v>131</v>
      </c>
      <c r="D28" s="79">
        <f>IF('Master Inputs Start here'!B72="Yes",'Master Inputs Start here'!B73,'Master Inputs Start here'!B70)</f>
        <v>0.17160478996251566</v>
      </c>
      <c r="E28" s="92">
        <f>'Master Inputs Start here'!B87</f>
        <v>0.12</v>
      </c>
      <c r="J28" s="128"/>
    </row>
    <row r="29" spans="2:5" s="4" customFormat="1" ht="19.5" customHeight="1">
      <c r="B29" s="4" t="s">
        <v>43</v>
      </c>
      <c r="D29" s="79">
        <f>IF('Master Inputs Start here'!B72="Yes",'Master Inputs Start here'!B74,'Master Inputs Start here'!B71)</f>
        <v>0.7</v>
      </c>
      <c r="E29" s="92">
        <f>IF('Master Inputs Start here'!B86="Yes",'Master Inputs Start here'!B79/'Master Inputs Start here'!B87,"Not used")</f>
        <v>0.4166666666666667</v>
      </c>
    </row>
    <row r="30" spans="4:5" s="4" customFormat="1" ht="19.5" customHeight="1">
      <c r="D30" s="10"/>
      <c r="E30" s="9"/>
    </row>
    <row r="31" spans="1:9" s="20" customFormat="1" ht="19.5" customHeight="1">
      <c r="A31" s="1"/>
      <c r="B31" s="19" t="s">
        <v>89</v>
      </c>
      <c r="C31" s="1"/>
      <c r="D31" s="1"/>
      <c r="E31" s="1"/>
      <c r="F31" s="1"/>
      <c r="G31" s="1"/>
      <c r="H31" s="1"/>
      <c r="I31" s="1"/>
    </row>
    <row r="32" spans="2:6" s="4" customFormat="1" ht="19.5" customHeight="1">
      <c r="B32" s="4" t="s">
        <v>90</v>
      </c>
      <c r="D32" s="92">
        <f>D22+D20*D23+D21*D24</f>
        <v>0.14</v>
      </c>
      <c r="E32" s="9"/>
      <c r="F32" s="9"/>
    </row>
    <row r="33" spans="2:6" s="4" customFormat="1" ht="19.5" customHeight="1">
      <c r="B33" s="4" t="s">
        <v>278</v>
      </c>
      <c r="D33" s="92">
        <f>1-D35</f>
        <v>0.7469843159306376</v>
      </c>
      <c r="E33" s="9"/>
      <c r="F33" s="9"/>
    </row>
    <row r="34" spans="2:6" s="4" customFormat="1" ht="19.5" customHeight="1">
      <c r="B34" s="4" t="s">
        <v>279</v>
      </c>
      <c r="D34" s="92">
        <f>D25*(1-D9)</f>
        <v>0.08086225</v>
      </c>
      <c r="E34" s="9"/>
      <c r="F34" s="9"/>
    </row>
    <row r="35" spans="2:6" s="4" customFormat="1" ht="19.5" customHeight="1">
      <c r="B35" s="4" t="s">
        <v>280</v>
      </c>
      <c r="D35" s="109">
        <f>D19</f>
        <v>0.25301568406936237</v>
      </c>
      <c r="E35" s="9"/>
      <c r="F35" s="9"/>
    </row>
    <row r="36" spans="2:6" s="4" customFormat="1" ht="19.5" customHeight="1">
      <c r="B36" s="4" t="s">
        <v>282</v>
      </c>
      <c r="D36" s="92">
        <f>D32*D33+D34*D35</f>
        <v>0.12503722172942708</v>
      </c>
      <c r="E36" s="9"/>
      <c r="F36" s="9"/>
    </row>
    <row r="37" spans="4:6" s="4" customFormat="1" ht="19.5" customHeight="1">
      <c r="D37" s="16"/>
      <c r="E37" s="9"/>
      <c r="F37" s="9"/>
    </row>
    <row r="38" spans="2:6" s="4" customFormat="1" ht="19.5" customHeight="1">
      <c r="B38" s="8" t="s">
        <v>68</v>
      </c>
      <c r="E38" s="9"/>
      <c r="F38" s="9"/>
    </row>
    <row r="39" spans="2:6" s="8" customFormat="1" ht="19.5" customHeight="1">
      <c r="B39" s="4" t="s">
        <v>246</v>
      </c>
      <c r="D39" s="92">
        <f>IF('Master Inputs Start here'!B67="No",'Master Inputs Start here'!B68,IF('Master Inputs Start here'!B72="No",'Master Inputs Start here'!B70*'Master Inputs Start here'!B71,'Master Inputs Start here'!B73*'Master Inputs Start here'!B74))</f>
        <v>0.12012335297376095</v>
      </c>
      <c r="E39" s="17"/>
      <c r="F39" s="17"/>
    </row>
    <row r="40" spans="2:5" s="4" customFormat="1" ht="19.5" customHeight="1">
      <c r="B40" s="4" t="s">
        <v>211</v>
      </c>
      <c r="D40" s="92">
        <f>IF('Master Inputs Start here'!B64="Yes",'Master Inputs Start here'!B65,'Master Inputs Start here'!B66)</f>
        <v>-0.015364767478598402</v>
      </c>
      <c r="E40" s="9" t="s">
        <v>212</v>
      </c>
    </row>
    <row r="41" spans="2:6" s="4" customFormat="1" ht="19.5" customHeight="1">
      <c r="B41" s="8" t="s">
        <v>83</v>
      </c>
      <c r="E41" s="14"/>
      <c r="F41" s="9"/>
    </row>
    <row r="42" spans="2:19" s="4" customFormat="1" ht="19.5" customHeight="1">
      <c r="B42" s="70"/>
      <c r="C42" s="105" t="s">
        <v>179</v>
      </c>
      <c r="D42" s="70">
        <f>IF(D17=0," ",1)</f>
        <v>1</v>
      </c>
      <c r="E42" s="70">
        <f>IF(D17&lt;2," ",2)</f>
        <v>2</v>
      </c>
      <c r="F42" s="99">
        <f>IF(D17&lt;3," ",3)</f>
        <v>3</v>
      </c>
      <c r="G42" s="70">
        <f>IF(D17&lt;4," ",4)</f>
        <v>4</v>
      </c>
      <c r="H42" s="70">
        <f>IF(D17&lt;5," ",5)</f>
        <v>5</v>
      </c>
      <c r="I42" s="70">
        <f>IF(D17&lt;6," ",6)</f>
        <v>6</v>
      </c>
      <c r="J42" s="70">
        <f>IF(D17&lt;7," ",7)</f>
        <v>7</v>
      </c>
      <c r="K42" s="70">
        <f>IF(D17&lt;8," ",8)</f>
        <v>8</v>
      </c>
      <c r="L42" s="70">
        <f>IF(D17&lt;9," ",9)</f>
        <v>9</v>
      </c>
      <c r="M42" s="70">
        <f>IF(D17&lt;10," ",10)</f>
        <v>10</v>
      </c>
      <c r="N42" s="70" t="str">
        <f>IF(D17&lt;11," ",11)</f>
        <v> </v>
      </c>
      <c r="O42" s="70" t="str">
        <f>IF(D17&lt;12," ",12)</f>
        <v> </v>
      </c>
      <c r="P42" s="70" t="str">
        <f>IF(D17&lt;13," ",13)</f>
        <v> </v>
      </c>
      <c r="Q42" s="70" t="str">
        <f>IF(D17&lt;14," ",14)</f>
        <v> </v>
      </c>
      <c r="R42" s="70" t="str">
        <f>IF(D17&lt;15," ",15)</f>
        <v> </v>
      </c>
      <c r="S42" s="106" t="s">
        <v>450</v>
      </c>
    </row>
    <row r="43" spans="2:19" s="4" customFormat="1" ht="19.5" customHeight="1">
      <c r="B43" s="108" t="s">
        <v>246</v>
      </c>
      <c r="C43" s="105"/>
      <c r="D43" s="98">
        <f>IF($D$17&lt;D42," ",IF('Master Inputs Start here'!$B$76="Yes",IF(D42&lt;'Master Inputs Start here'!$B$58/2,$D$18,$D$54+(($D$18-$D$54)/('Master Inputs Start here'!$B$58/2))*('Master Inputs Start here'!$B$58-'Valuation Model'!D42)),$D$18))</f>
        <v>0.12012335297376095</v>
      </c>
      <c r="E43" s="98">
        <f>IF($D$17&lt;E42," ",IF('Master Inputs Start here'!$B$76="Yes",IF(E42&lt;'Master Inputs Start here'!$B$58/2,$D$18,$D$54+(($D$18-$D$54)/('Master Inputs Start here'!$B$58/2))*('Master Inputs Start here'!$B$58-'Valuation Model'!E42)),$D$18))</f>
        <v>0.12012335297376095</v>
      </c>
      <c r="F43" s="98">
        <f>IF($D$17&lt;F42," ",IF('Master Inputs Start here'!$B$76="Yes",IF(F42&lt;'Master Inputs Start here'!$B$58/2,$D$18,$D$54+(($D$18-$D$54)/('Master Inputs Start here'!$B$58/2))*('Master Inputs Start here'!$B$58-'Valuation Model'!F42)),$D$18))</f>
        <v>0.12012335297376095</v>
      </c>
      <c r="G43" s="98">
        <f>IF($D$17&lt;G42," ",IF('Master Inputs Start here'!$B$76="Yes",IF(G42&lt;'Master Inputs Start here'!$B$58/2,$D$18,$D$54+(($D$18-$D$54)/('Master Inputs Start here'!$B$58/2))*('Master Inputs Start here'!$B$58-'Valuation Model'!G42)),$D$18))</f>
        <v>0.12012335297376095</v>
      </c>
      <c r="H43" s="98">
        <f>IF($D$17&lt;H42," ",IF('Master Inputs Start here'!$B$76="Yes",IF(H42&lt;'Master Inputs Start here'!$B$58/2,$D$18,$D$54+(($D$18-$D$54)/('Master Inputs Start here'!$B$58/2))*('Master Inputs Start here'!$B$58-'Valuation Model'!H42)),$D$18))</f>
        <v>0.12012335297376095</v>
      </c>
      <c r="I43" s="98">
        <f>IF($D$17&lt;I42," ",IF('Master Inputs Start here'!$B$76="Yes",IF(I42&lt;'Master Inputs Start here'!$B$58/2,$D$18,$D$54+(($D$18-$D$54)/('Master Inputs Start here'!$B$58/2))*('Master Inputs Start here'!$B$58-'Valuation Model'!I42)),$D$18))</f>
        <v>0.10609868237900877</v>
      </c>
      <c r="J43" s="98">
        <f>IF($D$17&lt;J42," ",IF('Master Inputs Start here'!$B$76="Yes",IF(J42&lt;'Master Inputs Start here'!$B$58/2,$D$18,$D$54+(($D$18-$D$54)/('Master Inputs Start here'!$B$58/2))*('Master Inputs Start here'!$B$58-'Valuation Model'!J42)),$D$18))</f>
        <v>0.09207401178425657</v>
      </c>
      <c r="K43" s="98">
        <f>IF($D$17&lt;K42," ",IF('Master Inputs Start here'!$B$76="Yes",IF(K42&lt;'Master Inputs Start here'!$B$58/2,$D$18,$D$54+(($D$18-$D$54)/('Master Inputs Start here'!$B$58/2))*('Master Inputs Start here'!$B$58-'Valuation Model'!K42)),$D$18))</f>
        <v>0.07804934118950438</v>
      </c>
      <c r="L43" s="98">
        <f>IF($D$17&lt;L42," ",IF('Master Inputs Start here'!$B$76="Yes",IF(L42&lt;'Master Inputs Start here'!$B$58/2,$D$18,$D$54+(($D$18-$D$54)/('Master Inputs Start here'!$B$58/2))*('Master Inputs Start here'!$B$58-'Valuation Model'!L42)),$D$18))</f>
        <v>0.0640246705947522</v>
      </c>
      <c r="M43" s="98">
        <f>IF($D$17&lt;M42," ",IF('Master Inputs Start here'!$B$76="Yes",IF(M42&lt;'Master Inputs Start here'!$B$58/2,$D$18,$D$54+(($D$18-$D$54)/('Master Inputs Start here'!$B$58/2))*('Master Inputs Start here'!$B$58-'Valuation Model'!M42)),$D$18))</f>
        <v>0.05</v>
      </c>
      <c r="N43" s="98" t="str">
        <f>IF($D$17&lt;N42," ",IF('Master Inputs Start here'!$B$76="Yes",IF(N42&lt;'Master Inputs Start here'!$B$58/2,$D$18,$D$54+(($D$18-$D$54)/('Master Inputs Start here'!$B$58/2))*('Master Inputs Start here'!$B$58-'Valuation Model'!N42)),$D$18))</f>
        <v> </v>
      </c>
      <c r="O43" s="98" t="str">
        <f>IF($D$17&lt;O42," ",IF('Master Inputs Start here'!$B$76="Yes",IF(O42&lt;'Master Inputs Start here'!$B$58/2,$D$18,$D$54+(($D$18-$D$54)/('Master Inputs Start here'!$B$58/2))*('Master Inputs Start here'!$B$58-'Valuation Model'!O42)),$D$18))</f>
        <v> </v>
      </c>
      <c r="P43" s="98" t="str">
        <f>IF($D$17&lt;P42," ",IF('Master Inputs Start here'!$B$76="Yes",IF(P42&lt;'Master Inputs Start here'!$B$58/2,$D$18,$D$54+(($D$18-$D$54)/('Master Inputs Start here'!$B$58/2))*('Master Inputs Start here'!$B$58-'Valuation Model'!P42)),$D$18))</f>
        <v> </v>
      </c>
      <c r="Q43" s="98" t="str">
        <f>IF($D$17&lt;Q42," ",IF('Master Inputs Start here'!$B$76="Yes",IF(Q42&lt;'Master Inputs Start here'!$B$58/2,$D$18,$D$54+(($D$18-$D$54)/('Master Inputs Start here'!$B$58/2))*('Master Inputs Start here'!$B$58-'Valuation Model'!Q42)),$D$18))</f>
        <v> </v>
      </c>
      <c r="R43" s="98" t="str">
        <f>IF($D$17&lt;R42," ",IF('Master Inputs Start here'!$B$76="Yes",IF(R42&lt;'Master Inputs Start here'!$B$58/2,$D$18,$D$54+(($D$18-$D$54)/('Master Inputs Start here'!$B$58/2))*('Master Inputs Start here'!$B$58-'Valuation Model'!R42)),$D$18))</f>
        <v> </v>
      </c>
      <c r="S43" s="106"/>
    </row>
    <row r="44" spans="2:19" s="4" customFormat="1" ht="19.5" customHeight="1">
      <c r="B44" s="108" t="s">
        <v>299</v>
      </c>
      <c r="C44" s="105"/>
      <c r="D44" s="98">
        <f>IF($D$17&lt;D42," ",(1+D43))</f>
        <v>1.1201233529737609</v>
      </c>
      <c r="E44" s="98">
        <f>IF($D$17&lt;E42," ",(1+D43)*(1+E43))</f>
        <v>1.2546763258771805</v>
      </c>
      <c r="F44" s="98">
        <f>IF($D$17&lt;F42," ",(1+D43)*(1+E43)*(1+F43))</f>
        <v>1.4053922530383465</v>
      </c>
      <c r="G44" s="98">
        <f>IF($D$17&lt;G42," ",(1+D43)*(1+E43)*(1+F43)*(1+G43))</f>
        <v>1.5742126827166607</v>
      </c>
      <c r="H44" s="98">
        <f>IF($D$17&lt;H42," ",(1+D43)*(1+E43)*(1+F43)*(1+G43)*(1+H43))</f>
        <v>1.7633123884584052</v>
      </c>
      <c r="I44" s="98">
        <f>IF($D$17&lt;I42," ",(1+D43)*(1+E43)*(1+F43)*(1+G43)*(1+H43)*(1+I43))</f>
        <v>1.9503975094964248</v>
      </c>
      <c r="J44" s="98">
        <f>IF($D$17&lt;J42," ",(1+D43)*(1+E43)*(1+F43)*(1+G43)*(1+H43)*(1+I43)*(1+J43))</f>
        <v>2.1299784327697835</v>
      </c>
      <c r="K44" s="98">
        <f>IF($D$17&lt;K42," ",(1+D43)*(1+E43)*(1+F43)*(1+G43)*(1+H43)*(1+I43)*(1+J43)*(1+K43))</f>
        <v>2.2962218461953183</v>
      </c>
      <c r="L44" s="98">
        <f>IF($D$17&lt;L42," ",(1+D43)*(1+E43)*(1+F43)*(1+G43)*(1+H43)*(1+I43)*(1+J43)*(1+K43)*(1+L43))</f>
        <v>2.4432366935104475</v>
      </c>
      <c r="M44" s="98">
        <f>IF($D$17&lt;M42," ",(1+D43)*(1+E43)*(1+F43)*(1+G43)*(1+H43)*(1+I43)*(1+J43)*(1+K43)*(1+L43)*(1+M43))</f>
        <v>2.56539852818597</v>
      </c>
      <c r="N44" s="98" t="str">
        <f>IF($D$17&lt;N42," ",(1+D43)*(1+E43)*(1+F43)*(1+G43)*(1+H43)*(1+I43)*(1+J43)*(1+K43)*(1+L43)*(1+M43)*(1+N43))</f>
        <v> </v>
      </c>
      <c r="O44" s="98" t="str">
        <f>IF($D$17&lt;O42," ",(1+D43)*(1+E43)*(1+F43)*(1+G43)*(1+H43)*(1+I43)*(1+J43)*(1+K43)*(1+L43)*(1+M43)*(1+N43)*(1+O43))</f>
        <v> </v>
      </c>
      <c r="P44" s="98" t="str">
        <f>IF($D$17&lt;P42," ",(1+D43)*(1+E43)*(1+F43)*(1+G43)*(1+H43)*(1+I43)*(1+J43)*(1+K43)*(1+L43)*(1+M43)*(1+N43)*(1+O43)*(1+P43))</f>
        <v> </v>
      </c>
      <c r="Q44" s="98" t="str">
        <f>IF($D$17&lt;Q42," ",(1+D43)*(1+E43)*(1+F43)*(1+G43)*(1+H43)*(1+I43)*(1+J43)*(1+K43)*(1+L43)*(1+M43)*(1+N43)*(1+O43)*(1+P43)*(1+Q43))</f>
        <v> </v>
      </c>
      <c r="R44" s="98" t="str">
        <f>IF($D$17&lt;R42," ",(1+D43)*(1+E43)*(1+F43)*(1+G43)*(1+H43)*(1+I43)*(1+J43)*(1+K43)*(1+L43)*(1+M43)*(1+N43)*(1+O43)*(1+P43)*(1+Q43)*(1+R43))</f>
        <v> </v>
      </c>
      <c r="S44" s="106"/>
    </row>
    <row r="45" spans="2:19" s="4" customFormat="1" ht="19.5" customHeight="1">
      <c r="B45" s="108" t="s">
        <v>261</v>
      </c>
      <c r="C45" s="105"/>
      <c r="D45" s="98">
        <f>IF($D$17&lt;D42," ",IF('Master Inputs Start here'!$B$76="Yes",IF(D42&lt;'Master Inputs Start here'!$B$58/2,$D$29,$D$55+(($D$29-$D$55)/('Master Inputs Start here'!$B$58/2))*('Master Inputs Start here'!$B$58-'Valuation Model'!D42)),$D$29))</f>
        <v>0.7</v>
      </c>
      <c r="E45" s="98">
        <f>IF($D$17&lt;E42," ",IF('Master Inputs Start here'!$B$76="Yes",IF(E42&lt;'Master Inputs Start here'!$B$58/2,$D$29,$D$55+(($D$29-$D$55)/('Master Inputs Start here'!$B$58/2))*('Master Inputs Start here'!$B$58-'Valuation Model'!E42)),$D$29))</f>
        <v>0.7</v>
      </c>
      <c r="F45" s="98">
        <f>IF($D$17&lt;F42," ",IF('Master Inputs Start here'!$B$76="Yes",IF(F42&lt;'Master Inputs Start here'!$B$58/2,$D$29,$D$55+(($D$29-$D$55)/('Master Inputs Start here'!$B$58/2))*('Master Inputs Start here'!$B$58-'Valuation Model'!F42)),$D$29))</f>
        <v>0.7</v>
      </c>
      <c r="G45" s="98">
        <f>IF($D$17&lt;G42," ",IF('Master Inputs Start here'!$B$76="Yes",IF(G42&lt;'Master Inputs Start here'!$B$58/2,$D$29,$D$55+(($D$29-$D$55)/('Master Inputs Start here'!$B$58/2))*('Master Inputs Start here'!$B$58-'Valuation Model'!G42)),$D$29))</f>
        <v>0.7</v>
      </c>
      <c r="H45" s="98">
        <f>IF($D$17&lt;H42," ",IF('Master Inputs Start here'!$B$76="Yes",IF(H42&lt;'Master Inputs Start here'!$B$58/2,$D$29,$D$55+(($D$29-$D$55)/('Master Inputs Start here'!$B$58/2))*('Master Inputs Start here'!$B$58-'Valuation Model'!H42)),$D$29))</f>
        <v>0.7</v>
      </c>
      <c r="I45" s="98">
        <f>IF($D$17&lt;I42," ",IF('Master Inputs Start here'!$B$76="Yes",IF(I42&lt;'Master Inputs Start here'!$B$58/2,$D$29,$D$55+(($D$29-$D$55)/('Master Inputs Start here'!$B$58/2))*('Master Inputs Start here'!$B$58-'Valuation Model'!I42)),$D$29))</f>
        <v>0.6433333333333333</v>
      </c>
      <c r="J45" s="98">
        <f>IF($D$17&lt;J42," ",IF('Master Inputs Start here'!$B$76="Yes",IF(J42&lt;'Master Inputs Start here'!$B$58/2,$D$29,$D$55+(($D$29-$D$55)/('Master Inputs Start here'!$B$58/2))*('Master Inputs Start here'!$B$58-'Valuation Model'!J42)),$D$29))</f>
        <v>0.5866666666666667</v>
      </c>
      <c r="K45" s="98">
        <f>IF($D$17&lt;K42," ",IF('Master Inputs Start here'!$B$76="Yes",IF(K42&lt;'Master Inputs Start here'!$B$58/2,$D$29,$D$55+(($D$29-$D$55)/('Master Inputs Start here'!$B$58/2))*('Master Inputs Start here'!$B$58-'Valuation Model'!K42)),$D$29))</f>
        <v>0.5299999999999999</v>
      </c>
      <c r="L45" s="98">
        <f>IF($D$17&lt;L42," ",IF('Master Inputs Start here'!$B$76="Yes",IF(L42&lt;'Master Inputs Start here'!$B$58/2,$D$29,$D$55+(($D$29-$D$55)/('Master Inputs Start here'!$B$58/2))*('Master Inputs Start here'!$B$58-'Valuation Model'!L42)),$D$29))</f>
        <v>0.4733333333333333</v>
      </c>
      <c r="M45" s="98">
        <f>IF($D$17&lt;M42," ",IF('Master Inputs Start here'!$B$76="Yes",IF(M42&lt;'Master Inputs Start here'!$B$58/2,$D$29,$D$55+(($D$29-$D$55)/('Master Inputs Start here'!$B$58/2))*('Master Inputs Start here'!$B$58-'Valuation Model'!M42)),$D$29))</f>
        <v>0.41666666666666663</v>
      </c>
      <c r="N45" s="98" t="str">
        <f>IF($D$17&lt;N42," ",IF('Master Inputs Start here'!$B$76="Yes",IF(N42&lt;'Master Inputs Start here'!$B$58/2,$D$29,$D$55+(($D$29-$D$55)/('Master Inputs Start here'!$B$58/2))*('Master Inputs Start here'!$B$58-'Valuation Model'!N42)),$D$29))</f>
        <v> </v>
      </c>
      <c r="O45" s="98" t="str">
        <f>IF($D$17&lt;O42," ",IF('Master Inputs Start here'!$B$76="Yes",IF(O42&lt;'Master Inputs Start here'!$B$58/2,$D$29,$D$55+(($D$29-$D$55)/('Master Inputs Start here'!$B$58/2))*('Master Inputs Start here'!$B$58-'Valuation Model'!O42)),$D$29))</f>
        <v> </v>
      </c>
      <c r="P45" s="98" t="str">
        <f>IF($D$17&lt;P42," ",IF('Master Inputs Start here'!$B$76="Yes",IF(P42&lt;'Master Inputs Start here'!$B$58/2,$D$29,$D$55+(($D$29-$D$55)/('Master Inputs Start here'!$B$58/2))*('Master Inputs Start here'!$B$58-'Valuation Model'!P42)),$D$29))</f>
        <v> </v>
      </c>
      <c r="Q45" s="98" t="str">
        <f>IF($D$17&lt;Q42," ",IF('Master Inputs Start here'!$B$76="Yes",IF(Q42&lt;'Master Inputs Start here'!$B$58/2,$D$29,$D$55+(($D$29-$D$55)/('Master Inputs Start here'!$B$58/2))*('Master Inputs Start here'!$B$58-'Valuation Model'!Q42)),$D$29))</f>
        <v> </v>
      </c>
      <c r="R45" s="98" t="str">
        <f>IF($D$17&lt;R42," ",IF('Master Inputs Start here'!$B$76="Yes",IF(R42&lt;'Master Inputs Start here'!$B$58/2,$D$29,$D$55+(($D$29-$D$55)/('Master Inputs Start here'!$B$58/2))*('Master Inputs Start here'!$B$58-'Valuation Model'!R42)),$D$29))</f>
        <v> </v>
      </c>
      <c r="S45" s="106"/>
    </row>
    <row r="46" spans="2:19" s="4" customFormat="1" ht="19.5" customHeight="1">
      <c r="B46" s="108" t="s">
        <v>427</v>
      </c>
      <c r="C46" s="176">
        <f>IF('Master Inputs Start here'!B4="yes",E4*(1-E8)+'R&amp;D converter'!D40,E4*(1-E8))</f>
        <v>20116.714712935824</v>
      </c>
      <c r="D46" s="176">
        <f>IF($D$17&lt;D42," ",C46*(1+D43))</f>
        <v>22533.20193507026</v>
      </c>
      <c r="E46" s="176">
        <f aca="true" t="shared" si="0" ref="E46:R46">IF($D$17&lt;E42," ",D46*(1+E43))</f>
        <v>25239.965704745737</v>
      </c>
      <c r="F46" s="176">
        <f t="shared" si="0"/>
        <v>28271.875014142526</v>
      </c>
      <c r="G46" s="176">
        <f t="shared" si="0"/>
        <v>31667.98743569642</v>
      </c>
      <c r="H46" s="176">
        <f t="shared" si="0"/>
        <v>35472.052268403204</v>
      </c>
      <c r="I46" s="176">
        <f t="shared" si="0"/>
        <v>39235.59027536011</v>
      </c>
      <c r="J46" s="176">
        <f t="shared" si="0"/>
        <v>42848.16847673588</v>
      </c>
      <c r="K46" s="176">
        <f t="shared" si="0"/>
        <v>46192.43979752201</v>
      </c>
      <c r="L46" s="176">
        <f t="shared" si="0"/>
        <v>49149.89553952628</v>
      </c>
      <c r="M46" s="176">
        <f t="shared" si="0"/>
        <v>51607.3903165026</v>
      </c>
      <c r="N46" s="176" t="str">
        <f t="shared" si="0"/>
        <v> </v>
      </c>
      <c r="O46" s="176" t="str">
        <f t="shared" si="0"/>
        <v> </v>
      </c>
      <c r="P46" s="176" t="str">
        <f t="shared" si="0"/>
        <v> </v>
      </c>
      <c r="Q46" s="176" t="str">
        <f t="shared" si="0"/>
        <v> </v>
      </c>
      <c r="R46" s="176" t="str">
        <f t="shared" si="0"/>
        <v> </v>
      </c>
      <c r="S46" s="176">
        <f>(MAX(C46:R46)/(1-D26))*(1-E26)*(1+D54)</f>
        <v>45277.64590546776</v>
      </c>
    </row>
    <row r="47" spans="2:19" s="4" customFormat="1" ht="19.5" customHeight="1">
      <c r="B47" s="108" t="s">
        <v>54</v>
      </c>
      <c r="C47" s="177">
        <f>E6-E7</f>
        <v>31590</v>
      </c>
      <c r="D47" s="176">
        <f>IF($D$17&lt;D42," ",D45*D46-D48)</f>
        <v>16263.945251446996</v>
      </c>
      <c r="E47" s="176">
        <f aca="true" t="shared" si="1" ref="E47:R47">IF($D$17&lt;E42," ",E45*E46-E48)</f>
        <v>18217.624887632486</v>
      </c>
      <c r="F47" s="176">
        <f t="shared" si="1"/>
        <v>20405.987072353128</v>
      </c>
      <c r="G47" s="176">
        <f t="shared" si="1"/>
        <v>22857.222660223408</v>
      </c>
      <c r="H47" s="176">
        <f t="shared" si="1"/>
        <v>25602.90888583727</v>
      </c>
      <c r="I47" s="176">
        <f t="shared" si="1"/>
        <v>26005.805796588647</v>
      </c>
      <c r="J47" s="176">
        <f t="shared" si="1"/>
        <v>25871.180244590054</v>
      </c>
      <c r="K47" s="176">
        <f t="shared" si="1"/>
        <v>25161.09743652997</v>
      </c>
      <c r="L47" s="176">
        <f t="shared" si="1"/>
        <v>23864.839539991404</v>
      </c>
      <c r="M47" s="176">
        <f t="shared" si="1"/>
        <v>22002.110393192255</v>
      </c>
      <c r="N47" s="176" t="str">
        <f t="shared" si="1"/>
        <v> </v>
      </c>
      <c r="O47" s="176" t="str">
        <f t="shared" si="1"/>
        <v> </v>
      </c>
      <c r="P47" s="176" t="str">
        <f t="shared" si="1"/>
        <v> </v>
      </c>
      <c r="Q47" s="176" t="str">
        <f t="shared" si="1"/>
        <v> </v>
      </c>
      <c r="R47" s="176" t="str">
        <f t="shared" si="1"/>
        <v> </v>
      </c>
      <c r="S47" s="176">
        <f>IF('Master Inputs Start here'!B86="yes",'Valuation Model'!E29*S46-S48,('Master Inputs Start here'!B88-1)*D7*(1+'Valuation Model'!D39)^D17*(1+D54))</f>
        <v>19500.754309765063</v>
      </c>
    </row>
    <row r="48" spans="2:19" s="4" customFormat="1" ht="19.5" customHeight="1">
      <c r="B48" s="108" t="s">
        <v>215</v>
      </c>
      <c r="C48" s="176">
        <f>E12</f>
        <v>2732</v>
      </c>
      <c r="D48" s="176">
        <f>IF($D$17&lt;D42," ",($D$10*(D44-1)*$D$40))</f>
        <v>-490.70389689781314</v>
      </c>
      <c r="E48" s="176">
        <f aca="true" t="shared" si="2" ref="E48:R48">IF($D$17&lt;E42," ",($D$10*(E44-D44)*$D$40))</f>
        <v>-549.6488943104691</v>
      </c>
      <c r="F48" s="176">
        <f t="shared" si="2"/>
        <v>-615.6745624533631</v>
      </c>
      <c r="G48" s="176">
        <f t="shared" si="2"/>
        <v>-689.6314552359137</v>
      </c>
      <c r="H48" s="176">
        <f t="shared" si="2"/>
        <v>-772.4722979550263</v>
      </c>
      <c r="I48" s="176">
        <f t="shared" si="2"/>
        <v>-764.2427194403099</v>
      </c>
      <c r="J48" s="176">
        <f t="shared" si="2"/>
        <v>-733.5880715716703</v>
      </c>
      <c r="K48" s="176">
        <f t="shared" si="2"/>
        <v>-679.1043438433097</v>
      </c>
      <c r="L48" s="176">
        <f t="shared" si="2"/>
        <v>-600.5556512823026</v>
      </c>
      <c r="M48" s="176">
        <f t="shared" si="2"/>
        <v>-499.03109464951007</v>
      </c>
      <c r="N48" s="176" t="str">
        <f t="shared" si="2"/>
        <v> </v>
      </c>
      <c r="O48" s="176" t="str">
        <f t="shared" si="2"/>
        <v> </v>
      </c>
      <c r="P48" s="176" t="str">
        <f t="shared" si="2"/>
        <v> </v>
      </c>
      <c r="Q48" s="176" t="str">
        <f t="shared" si="2"/>
        <v> </v>
      </c>
      <c r="R48" s="176" t="str">
        <f t="shared" si="2"/>
        <v> </v>
      </c>
      <c r="S48" s="176">
        <f>(D10*(1+D39)^D17*(1+D54)-D10*(1+D39)^D17)*D40</f>
        <v>-635.0685158201642</v>
      </c>
    </row>
    <row r="49" spans="2:19" s="4" customFormat="1" ht="19.5" customHeight="1">
      <c r="B49" s="108" t="s">
        <v>370</v>
      </c>
      <c r="C49" s="176">
        <f>C46-C47-C48</f>
        <v>-14205.285287064176</v>
      </c>
      <c r="D49" s="176">
        <f>IF($D$17&lt;D42," ",D46-D47-D48)</f>
        <v>6759.960580521079</v>
      </c>
      <c r="E49" s="176">
        <f aca="true" t="shared" si="3" ref="E49:R49">IF($D$17&lt;E42," ",E46-E47-E48)</f>
        <v>7571.989711423719</v>
      </c>
      <c r="F49" s="176">
        <f t="shared" si="3"/>
        <v>8481.562504242762</v>
      </c>
      <c r="G49" s="176">
        <f t="shared" si="3"/>
        <v>9500.396230708928</v>
      </c>
      <c r="H49" s="176">
        <f t="shared" si="3"/>
        <v>10641.61568052096</v>
      </c>
      <c r="I49" s="176">
        <f t="shared" si="3"/>
        <v>13994.027198211774</v>
      </c>
      <c r="J49" s="176">
        <f t="shared" si="3"/>
        <v>17710.5763037175</v>
      </c>
      <c r="K49" s="176">
        <f t="shared" si="3"/>
        <v>21710.44670483535</v>
      </c>
      <c r="L49" s="176">
        <f t="shared" si="3"/>
        <v>25885.61165081718</v>
      </c>
      <c r="M49" s="176">
        <f t="shared" si="3"/>
        <v>30104.31101795985</v>
      </c>
      <c r="N49" s="176" t="str">
        <f t="shared" si="3"/>
        <v> </v>
      </c>
      <c r="O49" s="176" t="str">
        <f t="shared" si="3"/>
        <v> </v>
      </c>
      <c r="P49" s="176" t="str">
        <f t="shared" si="3"/>
        <v> </v>
      </c>
      <c r="Q49" s="176" t="str">
        <f t="shared" si="3"/>
        <v> </v>
      </c>
      <c r="R49" s="176" t="str">
        <f t="shared" si="3"/>
        <v> </v>
      </c>
      <c r="S49" s="177">
        <f>S46-S47-S48</f>
        <v>26411.96011152286</v>
      </c>
    </row>
    <row r="50" spans="2:19" s="4" customFormat="1" ht="19.5" customHeight="1">
      <c r="B50" s="108" t="s">
        <v>281</v>
      </c>
      <c r="C50" s="78"/>
      <c r="D50" s="98">
        <f>IF($D$17&lt;D42," ",IF('Master Inputs Start here'!$B$76="Yes",IF(D42&lt;'Master Inputs Start here'!$B$58/2,$D$36,$D$61+(($D$36-$D$61)/('Master Inputs Start here'!$B$58/2))*('Master Inputs Start here'!$B$58-'Valuation Model'!D42)),$D$36))</f>
        <v>0.12503722172942708</v>
      </c>
      <c r="E50" s="98">
        <f>IF($D$17&lt;E42," ",IF('Master Inputs Start here'!$B$76="Yes",IF(E42&lt;'Master Inputs Start here'!$B$58/2,$D$36,$D$61+(($D$36-$D$61)/('Master Inputs Start here'!$B$58/2))*('Master Inputs Start here'!$B$58-'Valuation Model'!E42)),$D$36))</f>
        <v>0.12503722172942708</v>
      </c>
      <c r="F50" s="98">
        <f>IF($D$17&lt;F42," ",IF('Master Inputs Start here'!$B$76="Yes",IF(F42&lt;'Master Inputs Start here'!$B$58/2,$D$36,$D$61+(($D$36-$D$61)/('Master Inputs Start here'!$B$58/2))*('Master Inputs Start here'!$B$58-'Valuation Model'!F42)),$D$36))</f>
        <v>0.12503722172942708</v>
      </c>
      <c r="G50" s="98">
        <f>IF($D$17&lt;G42," ",IF('Master Inputs Start here'!$B$76="Yes",IF(G42&lt;'Master Inputs Start here'!$B$58/2,$D$36,$D$61+(($D$36-$D$61)/('Master Inputs Start here'!$B$58/2))*('Master Inputs Start here'!$B$58-'Valuation Model'!G42)),$D$36))</f>
        <v>0.12503722172942708</v>
      </c>
      <c r="H50" s="98">
        <f>IF($D$17&lt;H42," ",IF('Master Inputs Start here'!$B$76="Yes",IF(H42&lt;'Master Inputs Start here'!$B$58/2,$D$36,$D$61+(($D$36-$D$61)/('Master Inputs Start here'!$B$58/2))*('Master Inputs Start here'!$B$58-'Valuation Model'!H42)),$D$36))</f>
        <v>0.12503722172942708</v>
      </c>
      <c r="I50" s="98">
        <f>IF($D$17&lt;I42," ",IF('Master Inputs Start here'!$B$76="Yes",IF(I42&lt;'Master Inputs Start here'!$B$58/2,$D$36,$D$61+(($D$36-$D$61)/('Master Inputs Start here'!$B$58/2))*('Master Inputs Start here'!$B$58-'Valuation Model'!I42)),$D$36))</f>
        <v>0.12081428585766618</v>
      </c>
      <c r="J50" s="98">
        <f>IF($D$17&lt;J42," ",IF('Master Inputs Start here'!$B$76="Yes",IF(J42&lt;'Master Inputs Start here'!$B$58/2,$D$36,$D$61+(($D$36-$D$61)/('Master Inputs Start here'!$B$58/2))*('Master Inputs Start here'!$B$58-'Valuation Model'!J42)),$D$36))</f>
        <v>0.1165913499859053</v>
      </c>
      <c r="K50" s="98">
        <f>IF($D$17&lt;K42," ",IF('Master Inputs Start here'!$B$76="Yes",IF(K42&lt;'Master Inputs Start here'!$B$58/2,$D$36,$D$61+(($D$36-$D$61)/('Master Inputs Start here'!$B$58/2))*('Master Inputs Start here'!$B$58-'Valuation Model'!K42)),$D$36))</f>
        <v>0.1123684141141444</v>
      </c>
      <c r="L50" s="98">
        <f>IF($D$17&lt;L42," ",IF('Master Inputs Start here'!$B$76="Yes",IF(L42&lt;'Master Inputs Start here'!$B$58/2,$D$36,$D$61+(($D$36-$D$61)/('Master Inputs Start here'!$B$58/2))*('Master Inputs Start here'!$B$58-'Valuation Model'!L42)),$D$36))</f>
        <v>0.10814547824238352</v>
      </c>
      <c r="M50" s="98">
        <f>IF($D$17&lt;M42," ",IF('Master Inputs Start here'!$B$76="Yes",IF(M42&lt;'Master Inputs Start here'!$B$58/2,$D$36,$D$61+(($D$36-$D$61)/('Master Inputs Start here'!$B$58/2))*('Master Inputs Start here'!$B$58-'Valuation Model'!M42)),$D$36))</f>
        <v>0.10392254237062262</v>
      </c>
      <c r="N50" s="98" t="str">
        <f>IF($D$17&lt;N42," ",IF('Master Inputs Start here'!$B$76="Yes",IF(N42&lt;'Master Inputs Start here'!$B$58/2,$D$36,$D$61+(($D$36-$D$61)/('Master Inputs Start here'!$B$58/2))*('Master Inputs Start here'!$B$58-'Valuation Model'!N42)),$D$36))</f>
        <v> </v>
      </c>
      <c r="O50" s="98" t="str">
        <f>IF($D$17&lt;O42," ",IF('Master Inputs Start here'!$B$76="Yes",IF(O42&lt;'Master Inputs Start here'!$B$58/2,$D$36,$D$61+(($D$36-$D$61)/('Master Inputs Start here'!$B$58/2))*('Master Inputs Start here'!$B$58-'Valuation Model'!O42)),$D$36))</f>
        <v> </v>
      </c>
      <c r="P50" s="98" t="str">
        <f>IF($D$17&lt;P42," ",IF('Master Inputs Start here'!$B$76="Yes",IF(P42&lt;'Master Inputs Start here'!$B$58/2,$D$36,$D$61+(($D$36-$D$61)/('Master Inputs Start here'!$B$58/2))*('Master Inputs Start here'!$B$58-'Valuation Model'!P42)),$D$36))</f>
        <v> </v>
      </c>
      <c r="Q50" s="98" t="str">
        <f>IF($D$17&lt;Q42," ",IF('Master Inputs Start here'!$B$76="Yes",IF(Q42&lt;'Master Inputs Start here'!$B$58/2,$D$36,$D$61+(($D$36-$D$61)/('Master Inputs Start here'!$B$58/2))*('Master Inputs Start here'!$B$58-'Valuation Model'!Q42)),$D$36))</f>
        <v> </v>
      </c>
      <c r="R50" s="98" t="str">
        <f>IF($D$17&lt;R42," ",IF('Master Inputs Start here'!$B$76="Yes",IF(R42&lt;'Master Inputs Start here'!$B$58/2,$D$36,$D$61+(($D$36-$D$61)/('Master Inputs Start here'!$B$58/2))*('Master Inputs Start here'!$B$58-'Valuation Model'!R42)),$D$36))</f>
        <v> </v>
      </c>
      <c r="S50" s="96"/>
    </row>
    <row r="51" spans="2:19" s="4" customFormat="1" ht="19.5" customHeight="1">
      <c r="B51" s="108" t="s">
        <v>444</v>
      </c>
      <c r="C51" s="78"/>
      <c r="D51" s="121">
        <f>IF($D$17&lt;D42," ",(1+D50))</f>
        <v>1.125037221729427</v>
      </c>
      <c r="E51" s="121">
        <f>IF($D$17&lt;E42," ",(1+D50)*(1+E50))</f>
        <v>1.2657087502766682</v>
      </c>
      <c r="F51" s="121">
        <f>IF($D$17&lt;F42," ",(1+D50)*(1+E50)*(1+F50))</f>
        <v>1.423969455929888</v>
      </c>
      <c r="G51" s="121">
        <f>IF($D$17&lt;G42," ",(1+D50)*(1+E50)*(1+F50)*(1+G50))</f>
        <v>1.6020186405269252</v>
      </c>
      <c r="H51" s="121">
        <f>IF($D$17&lt;H42," ",(1+D50)*(1+E50)*(1+F50)*(1+G50)*(1+H50))</f>
        <v>1.8023306004971658</v>
      </c>
      <c r="I51" s="121">
        <f>IF($D$17&lt;I42," ",(1+D50)*(1+E50)*(1+F50)*(1+G50)*(1+H50)*(1+I50))</f>
        <v>2.0200778848756493</v>
      </c>
      <c r="J51" s="121">
        <f>IF($D$17&lt;J42," ",(1+D50)*(1+E50)*(1+F50)*(1+G50)*(1+H50)*(1+I50)*(1+J50))</f>
        <v>2.255601492549973</v>
      </c>
      <c r="K51" s="121">
        <f>IF($D$17&lt;K42," ",(1+D50)*(1+E50)*(1+F50)*(1+G50)*(1+H50)*(1+I50)*(1+J50)*(1+K50))</f>
        <v>2.509059855141311</v>
      </c>
      <c r="L51" s="121">
        <f>IF($D$17&lt;L42," ",(1+D50)*(1+E50)*(1+F50)*(1+G50)*(1+H50)*(1+I50)*(1+J50)*(1+K50)*(1+L50))</f>
        <v>2.780403333114333</v>
      </c>
      <c r="M51" s="121">
        <f>IF($D$17&lt;M42," ",(1+D50)*(1+E50)*(1+F50)*(1+G50)*(1+H50)*(1+I50)*(1+J50)*(1+K50)*(1+L50)*(1+M50))</f>
        <v>3.069349916307328</v>
      </c>
      <c r="N51" s="121" t="str">
        <f>IF($D$17&lt;N42," ",(1+D50)*(1+E50)*(1+F50)*(1+G50)*(1+H50)*(1+I50)*(1+J50)*(1+K50)*(1+L50)*(1+M50)*(1+N50))</f>
        <v> </v>
      </c>
      <c r="O51" s="121" t="str">
        <f>IF($D$17&lt;O42," ",(1+D50)*(1+E50)*(1+F50)*(1+G50)*(1+H50)*(1+I50)*(1+J50)*(1+K50)*(1+L50)*(1+M50)*(1+N50)*(1+O50))</f>
        <v> </v>
      </c>
      <c r="P51" s="98" t="str">
        <f>IF($D$17&lt;P42," ",(1+D50)*(1+E50)*(1+F50)*(1+G50)*(1+H50)*(1+I50)*(1+J50)*(1+K50)*(1+L50)*(1+M50)*(1+N50)*(1+O50)*(1+P50))</f>
        <v> </v>
      </c>
      <c r="Q51" s="98" t="str">
        <f>IF($D$17&lt;Q42," ",(1+D50)*(1+E50)*(1+F50)*(1+G50)*(1+H50)*(1+I50)*(1+J50)*(1+K50)*(1+L50)*(1+M50)*(1+N50)*(1+O50)*(1+P50)*(1+Q50))</f>
        <v> </v>
      </c>
      <c r="R51" s="98" t="str">
        <f>IF($D$17&lt;R42," ",(1+D50)*(1+E50)*(1+F50)*(1+G50)*(1+H50)*(1+I50)*(1+J50)*(1+K50)*(1+L50)*(1+M50)*(1+N50)*(1+O50)*(1+P50)*(1+Q50)*(1+R50))</f>
        <v> </v>
      </c>
      <c r="S51" s="96"/>
    </row>
    <row r="52" spans="2:19" s="4" customFormat="1" ht="19.5" customHeight="1">
      <c r="B52" s="70" t="s">
        <v>420</v>
      </c>
      <c r="C52" s="107"/>
      <c r="D52" s="122">
        <f>IF($D$17&lt;D42," ",D49/D51)</f>
        <v>6008.655047101061</v>
      </c>
      <c r="E52" s="122">
        <f aca="true" t="shared" si="4" ref="E52:R52">IF($D$17&lt;E42," ",E49/E51)</f>
        <v>5982.410811151125</v>
      </c>
      <c r="F52" s="122">
        <f t="shared" si="4"/>
        <v>5956.2812031695485</v>
      </c>
      <c r="G52" s="122">
        <f t="shared" si="4"/>
        <v>5930.265722491295</v>
      </c>
      <c r="H52" s="122">
        <f t="shared" si="4"/>
        <v>5904.3638706381125</v>
      </c>
      <c r="I52" s="122">
        <f t="shared" si="4"/>
        <v>6927.4691352176305</v>
      </c>
      <c r="J52" s="122">
        <f t="shared" si="4"/>
        <v>7851.819730663314</v>
      </c>
      <c r="K52" s="122">
        <f t="shared" si="4"/>
        <v>8652.821358704738</v>
      </c>
      <c r="L52" s="122">
        <f t="shared" si="4"/>
        <v>9310.020363780342</v>
      </c>
      <c r="M52" s="122">
        <f t="shared" si="4"/>
        <v>9808.041389486712</v>
      </c>
      <c r="N52" s="122" t="str">
        <f t="shared" si="4"/>
        <v> </v>
      </c>
      <c r="O52" s="122" t="str">
        <f t="shared" si="4"/>
        <v> </v>
      </c>
      <c r="P52" s="107" t="str">
        <f t="shared" si="4"/>
        <v> </v>
      </c>
      <c r="Q52" s="107" t="str">
        <f t="shared" si="4"/>
        <v> </v>
      </c>
      <c r="R52" s="107" t="str">
        <f t="shared" si="4"/>
        <v> </v>
      </c>
      <c r="S52" s="106"/>
    </row>
    <row r="53" spans="4:19" s="4" customFormat="1" ht="19.5" customHeight="1">
      <c r="D53" s="22"/>
      <c r="E53" s="9"/>
      <c r="F53" s="9"/>
      <c r="S53" s="65"/>
    </row>
    <row r="54" spans="2:5" s="4" customFormat="1" ht="19.5" customHeight="1">
      <c r="B54" s="4" t="s">
        <v>431</v>
      </c>
      <c r="D54" s="92">
        <f>'Master Inputs Start here'!B79</f>
        <v>0.05</v>
      </c>
      <c r="E54" s="9"/>
    </row>
    <row r="55" spans="2:5" s="4" customFormat="1" ht="19.5" customHeight="1">
      <c r="B55" s="4" t="s">
        <v>298</v>
      </c>
      <c r="D55" s="92">
        <f>(S47+S48)/S46</f>
        <v>0.41666666666666663</v>
      </c>
      <c r="E55" s="9"/>
    </row>
    <row r="56" spans="2:5" s="4" customFormat="1" ht="19.5" customHeight="1">
      <c r="B56" s="4" t="s">
        <v>432</v>
      </c>
      <c r="D56" s="188">
        <f>S49</f>
        <v>26411.96011152286</v>
      </c>
      <c r="E56" s="9"/>
    </row>
    <row r="57" spans="2:5" s="4" customFormat="1" ht="19.5" customHeight="1">
      <c r="B57" s="4" t="s">
        <v>451</v>
      </c>
      <c r="D57" s="92">
        <f>E22+E20*E23+E21*E24</f>
        <v>0.119</v>
      </c>
      <c r="E57" s="9"/>
    </row>
    <row r="58" spans="2:5" s="4" customFormat="1" ht="19.5" customHeight="1">
      <c r="B58" s="4" t="s">
        <v>452</v>
      </c>
      <c r="D58" s="92">
        <f>1-E19</f>
        <v>0.7469843159306376</v>
      </c>
      <c r="E58" s="9"/>
    </row>
    <row r="59" spans="2:5" s="4" customFormat="1" ht="19.5" customHeight="1">
      <c r="B59" s="4" t="s">
        <v>168</v>
      </c>
      <c r="D59" s="92">
        <f>E25*(1-E26)</f>
        <v>0.059409</v>
      </c>
      <c r="E59" s="9"/>
    </row>
    <row r="60" spans="2:5" s="4" customFormat="1" ht="19.5" customHeight="1">
      <c r="B60" s="4" t="s">
        <v>459</v>
      </c>
      <c r="D60" s="92">
        <f>1-D58</f>
        <v>0.25301568406936237</v>
      </c>
      <c r="E60" s="9"/>
    </row>
    <row r="61" spans="2:5" s="4" customFormat="1" ht="19.5" customHeight="1">
      <c r="B61" s="4" t="s">
        <v>55</v>
      </c>
      <c r="D61" s="92">
        <f>D57*D58+D59*D60</f>
        <v>0.10392254237062262</v>
      </c>
      <c r="E61" s="9"/>
    </row>
    <row r="62" spans="2:5" s="7" customFormat="1" ht="19.5" customHeight="1">
      <c r="B62" s="7" t="s">
        <v>49</v>
      </c>
      <c r="D62" s="189">
        <f>D56/(D61-D54)</f>
        <v>489812.960412495</v>
      </c>
      <c r="E62" s="15"/>
    </row>
    <row r="63" spans="2:11" s="4" customFormat="1" ht="19.5" customHeight="1">
      <c r="B63" s="202" t="s">
        <v>180</v>
      </c>
      <c r="C63" s="202"/>
      <c r="D63" s="202"/>
      <c r="E63" s="202"/>
      <c r="F63" s="202"/>
      <c r="G63" s="202"/>
      <c r="H63" s="202"/>
      <c r="I63" s="202"/>
      <c r="J63" s="202"/>
      <c r="K63" s="202"/>
    </row>
    <row r="64" spans="2:6" s="4" customFormat="1" ht="19.5" customHeight="1">
      <c r="B64" s="7" t="s">
        <v>72</v>
      </c>
      <c r="C64" s="7"/>
      <c r="D64" s="7"/>
      <c r="E64" s="15"/>
      <c r="F64" s="178">
        <f>SUM(D52:R52)</f>
        <v>72332.14863240389</v>
      </c>
    </row>
    <row r="65" spans="2:10" s="4" customFormat="1" ht="19.5" customHeight="1">
      <c r="B65" s="7" t="s">
        <v>244</v>
      </c>
      <c r="C65" s="7"/>
      <c r="D65" s="7"/>
      <c r="E65" s="15"/>
      <c r="F65" s="178">
        <f>IF('Master Inputs Start here'!B58=0,'Valuation Model'!D62,D62/MAX(D51:R51))</f>
        <v>159581.98764179318</v>
      </c>
      <c r="G65" s="66"/>
      <c r="J65"/>
    </row>
    <row r="66" spans="2:10" s="4" customFormat="1" ht="19.5" customHeight="1">
      <c r="B66" s="7" t="s">
        <v>312</v>
      </c>
      <c r="C66" s="7"/>
      <c r="D66" s="7"/>
      <c r="E66" s="15"/>
      <c r="F66" s="178">
        <f>F64+F65</f>
        <v>231914.13627419708</v>
      </c>
      <c r="J66"/>
    </row>
    <row r="67" spans="2:10" s="4" customFormat="1" ht="19.5" customHeight="1">
      <c r="B67" s="7" t="s">
        <v>143</v>
      </c>
      <c r="C67" s="7"/>
      <c r="D67" s="7"/>
      <c r="E67" s="15"/>
      <c r="F67" s="178">
        <f>('Master Inputs Start here'!B22+'Master Inputs Start here'!B23)/'Master Inputs Start here'!B41</f>
        <v>151993.98446</v>
      </c>
      <c r="J67"/>
    </row>
    <row r="68" spans="2:10" s="4" customFormat="1" ht="19.5" customHeight="1">
      <c r="B68" s="7" t="s">
        <v>552</v>
      </c>
      <c r="C68" s="7"/>
      <c r="D68" s="7"/>
      <c r="E68" s="15"/>
      <c r="F68" s="178">
        <f>F66+F67</f>
        <v>383908.1207341971</v>
      </c>
      <c r="J68"/>
    </row>
    <row r="69" spans="2:6" s="4" customFormat="1" ht="19.5" customHeight="1">
      <c r="B69" s="7" t="s">
        <v>256</v>
      </c>
      <c r="C69" s="7"/>
      <c r="D69" s="7"/>
      <c r="E69" s="15"/>
      <c r="F69" s="178">
        <f>IF('Master Inputs Start here'!B5="Yes",IF('Master Inputs Start here'!B27="Yes",'Master Inputs Start here'!B31+'Operating lease converter'!F35,'Master Inputs Start here'!B19+'Operating lease converter'!F35),IF('Master Inputs Start here'!B27="Yes",'Master Inputs Start here'!B31,'Master Inputs Start here'!B19))/'Master Inputs Start here'!B41</f>
        <v>109197.99095987178</v>
      </c>
    </row>
    <row r="70" spans="2:6" s="4" customFormat="1" ht="19.5" customHeight="1">
      <c r="B70" s="7" t="s">
        <v>250</v>
      </c>
      <c r="C70" s="7"/>
      <c r="D70" s="7"/>
      <c r="E70" s="15"/>
      <c r="F70" s="178">
        <f>'Master Inputs Start here'!B24*'Master Inputs Start here'!B25/'Master Inputs Start here'!B41</f>
        <v>0</v>
      </c>
    </row>
    <row r="71" spans="2:6" s="4" customFormat="1" ht="19.5" customHeight="1">
      <c r="B71" s="7" t="s">
        <v>257</v>
      </c>
      <c r="C71" s="7"/>
      <c r="D71" s="7"/>
      <c r="E71" s="15"/>
      <c r="F71" s="178">
        <f>F68-F69-F70</f>
        <v>274710.1297743253</v>
      </c>
    </row>
    <row r="72" spans="2:6" s="4" customFormat="1" ht="19.5" customHeight="1">
      <c r="B72" s="7" t="s">
        <v>30</v>
      </c>
      <c r="C72" s="7"/>
      <c r="D72" s="7"/>
      <c r="E72" s="15"/>
      <c r="F72" s="179">
        <f>IF('Master Inputs Start here'!B49="Yes",'Option Value'!D27*(1-'Master Inputs Start here'!B15),0)/'Master Inputs Start here'!B41</f>
        <v>0</v>
      </c>
    </row>
    <row r="73" spans="2:6" s="4" customFormat="1" ht="19.5" customHeight="1">
      <c r="B73" s="7" t="s">
        <v>106</v>
      </c>
      <c r="C73" s="7"/>
      <c r="D73" s="7"/>
      <c r="E73" s="15"/>
      <c r="F73" s="179">
        <f>F71-F72</f>
        <v>274710.1297743253</v>
      </c>
    </row>
    <row r="74" spans="2:6" s="4" customFormat="1" ht="19.5" customHeight="1" thickBot="1">
      <c r="B74" s="7" t="s">
        <v>162</v>
      </c>
      <c r="C74" s="7"/>
      <c r="D74" s="7"/>
      <c r="E74" s="15"/>
      <c r="F74" s="180">
        <f>F73/'Master Inputs Start here'!B30</f>
        <v>665.0723509436448</v>
      </c>
    </row>
    <row r="75" spans="2:7" ht="19.5" customHeight="1" thickBot="1">
      <c r="B75" s="2" t="s">
        <v>366</v>
      </c>
      <c r="C75" s="2"/>
      <c r="D75" s="2"/>
      <c r="E75" s="3"/>
      <c r="F75" s="181">
        <f>F74*'Master Inputs Start here'!B41</f>
        <v>665.0723509436448</v>
      </c>
      <c r="G75" s="2"/>
    </row>
    <row r="78" spans="2:12" ht="12.75">
      <c r="B78" t="s">
        <v>321</v>
      </c>
      <c r="C78">
        <v>1</v>
      </c>
      <c r="D78">
        <v>2</v>
      </c>
      <c r="E78">
        <v>3</v>
      </c>
      <c r="F78">
        <v>4</v>
      </c>
      <c r="G78">
        <v>5</v>
      </c>
      <c r="H78">
        <v>6</v>
      </c>
      <c r="I78">
        <v>7</v>
      </c>
      <c r="J78">
        <v>8</v>
      </c>
      <c r="K78">
        <v>9</v>
      </c>
      <c r="L78">
        <v>10</v>
      </c>
    </row>
    <row r="79" spans="2:12" ht="12.75">
      <c r="B79" t="s">
        <v>114</v>
      </c>
      <c r="C79" s="195">
        <f aca="true" t="shared" si="5" ref="C79:L79">D46</f>
        <v>22533.20193507026</v>
      </c>
      <c r="D79" s="195">
        <f t="shared" si="5"/>
        <v>25239.965704745737</v>
      </c>
      <c r="E79" s="195">
        <f t="shared" si="5"/>
        <v>28271.875014142526</v>
      </c>
      <c r="F79" s="195">
        <f t="shared" si="5"/>
        <v>31667.98743569642</v>
      </c>
      <c r="G79" s="195">
        <f t="shared" si="5"/>
        <v>35472.052268403204</v>
      </c>
      <c r="H79" s="195">
        <f t="shared" si="5"/>
        <v>39235.59027536011</v>
      </c>
      <c r="I79" s="195">
        <f t="shared" si="5"/>
        <v>42848.16847673588</v>
      </c>
      <c r="J79" s="195">
        <f t="shared" si="5"/>
        <v>46192.43979752201</v>
      </c>
      <c r="K79" s="195">
        <f t="shared" si="5"/>
        <v>49149.89553952628</v>
      </c>
      <c r="L79" s="195">
        <f t="shared" si="5"/>
        <v>51607.3903165026</v>
      </c>
    </row>
    <row r="80" spans="2:12" ht="12.75">
      <c r="B80" t="s">
        <v>482</v>
      </c>
      <c r="C80" s="195">
        <f aca="true" t="shared" si="6" ref="C80:L80">D47+D48</f>
        <v>15773.241354549184</v>
      </c>
      <c r="D80" s="195">
        <f t="shared" si="6"/>
        <v>17667.975993322016</v>
      </c>
      <c r="E80" s="195">
        <f t="shared" si="6"/>
        <v>19790.312509899766</v>
      </c>
      <c r="F80" s="195">
        <f t="shared" si="6"/>
        <v>22167.591204987493</v>
      </c>
      <c r="G80" s="195">
        <f t="shared" si="6"/>
        <v>24830.436587882243</v>
      </c>
      <c r="H80" s="195">
        <f t="shared" si="6"/>
        <v>25241.563077148337</v>
      </c>
      <c r="I80" s="195">
        <f t="shared" si="6"/>
        <v>25137.592173018384</v>
      </c>
      <c r="J80" s="195">
        <f t="shared" si="6"/>
        <v>24481.993092686662</v>
      </c>
      <c r="K80" s="195">
        <f t="shared" si="6"/>
        <v>23264.283888709102</v>
      </c>
      <c r="L80" s="195">
        <f t="shared" si="6"/>
        <v>21503.079298542747</v>
      </c>
    </row>
    <row r="81" spans="2:12" ht="12.75">
      <c r="B81" t="s">
        <v>189</v>
      </c>
      <c r="C81" s="195">
        <f aca="true" t="shared" si="7" ref="C81:L81">C79-C80</f>
        <v>6759.960580521078</v>
      </c>
      <c r="D81" s="195">
        <f t="shared" si="7"/>
        <v>7571.989711423721</v>
      </c>
      <c r="E81" s="195">
        <f t="shared" si="7"/>
        <v>8481.56250424276</v>
      </c>
      <c r="F81" s="195">
        <f t="shared" si="7"/>
        <v>9500.396230708928</v>
      </c>
      <c r="G81" s="195">
        <f t="shared" si="7"/>
        <v>10641.615680520961</v>
      </c>
      <c r="H81" s="195">
        <f t="shared" si="7"/>
        <v>13994.027198211774</v>
      </c>
      <c r="I81" s="195">
        <f t="shared" si="7"/>
        <v>17710.5763037175</v>
      </c>
      <c r="J81" s="195">
        <f t="shared" si="7"/>
        <v>21710.44670483535</v>
      </c>
      <c r="K81" s="195">
        <f t="shared" si="7"/>
        <v>25885.61165081718</v>
      </c>
      <c r="L81" s="195">
        <f t="shared" si="7"/>
        <v>30104.31101795985</v>
      </c>
    </row>
  </sheetData>
  <mergeCells count="2">
    <mergeCell ref="B1:J1"/>
    <mergeCell ref="B63:K63"/>
  </mergeCells>
  <printOptions/>
  <pageMargins left="0.75" right="0.75" top="1" bottom="1" header="0.5" footer="0.5"/>
  <pageSetup orientation="landscape" scale="80"/>
  <headerFooter alignWithMargins="0">
    <oddHeader>&amp;C Two-Stage FCFF Discount Model</oddHeader>
    <oddFooter>&amp;CPage &amp;p</oddFooter>
  </headerFooter>
  <rowBreaks count="1" manualBreakCount="1">
    <brk id="30" max="255" man="1"/>
  </rowBreaks>
  <legacyDrawing r:id="rId2"/>
</worksheet>
</file>

<file path=xl/worksheets/sheet11.xml><?xml version="1.0" encoding="utf-8"?>
<worksheet xmlns="http://schemas.openxmlformats.org/spreadsheetml/2006/main" xmlns:r="http://schemas.openxmlformats.org/officeDocument/2006/relationships">
  <dimension ref="A1:G27"/>
  <sheetViews>
    <sheetView workbookViewId="0" topLeftCell="A1">
      <selection activeCell="D3" sqref="D3"/>
    </sheetView>
  </sheetViews>
  <sheetFormatPr defaultColWidth="11.00390625" defaultRowHeight="12.75"/>
  <cols>
    <col min="4" max="4" width="15.375" style="0" bestFit="1" customWidth="1"/>
  </cols>
  <sheetData>
    <row r="1" spans="1:2" s="56" customFormat="1" ht="18">
      <c r="A1" s="24" t="s">
        <v>357</v>
      </c>
      <c r="B1" s="24"/>
    </row>
    <row r="2" spans="1:4" ht="12.75">
      <c r="A2" s="4" t="s">
        <v>46</v>
      </c>
      <c r="B2" s="4"/>
      <c r="D2" s="95">
        <f>IF('Master Inputs Start here'!B54="P",'Master Inputs Start here'!B29,'Valuation Model'!F74)</f>
        <v>780.5</v>
      </c>
    </row>
    <row r="3" spans="1:4" ht="12.75">
      <c r="A3" s="4" t="s">
        <v>248</v>
      </c>
      <c r="B3" s="4"/>
      <c r="D3" s="69">
        <f>'Master Inputs Start here'!B51</f>
        <v>13.85</v>
      </c>
    </row>
    <row r="4" spans="1:4" ht="12.75">
      <c r="A4" s="4" t="s">
        <v>467</v>
      </c>
      <c r="B4" s="4"/>
      <c r="D4" s="106">
        <f>'Master Inputs Start here'!B52</f>
        <v>1.5</v>
      </c>
    </row>
    <row r="5" spans="1:5" ht="12.75">
      <c r="A5" s="4" t="s">
        <v>468</v>
      </c>
      <c r="B5" s="4"/>
      <c r="D5" s="110">
        <f>'Master Inputs Start here'!B53</f>
        <v>0.3</v>
      </c>
      <c r="E5" s="4" t="s">
        <v>25</v>
      </c>
    </row>
    <row r="6" spans="1:4" ht="12.75">
      <c r="A6" s="4" t="s">
        <v>5</v>
      </c>
      <c r="B6" s="4"/>
      <c r="D6" s="111">
        <v>0</v>
      </c>
    </row>
    <row r="7" spans="1:4" ht="12.75">
      <c r="A7" s="4" t="s">
        <v>6</v>
      </c>
      <c r="B7" s="4"/>
      <c r="D7" s="111">
        <f>'Master Inputs Start here'!B37</f>
        <v>0.05</v>
      </c>
    </row>
    <row r="8" spans="1:4" ht="12.75">
      <c r="A8" s="4" t="s">
        <v>440</v>
      </c>
      <c r="B8" s="4"/>
      <c r="D8" s="112">
        <f>'Master Inputs Start here'!B50</f>
        <v>2.23</v>
      </c>
    </row>
    <row r="9" spans="1:4" ht="12.75">
      <c r="A9" s="4" t="s">
        <v>291</v>
      </c>
      <c r="B9" s="4"/>
      <c r="D9" s="113">
        <f>'Master Inputs Start here'!B30</f>
        <v>413.053</v>
      </c>
    </row>
    <row r="10" spans="1:2" ht="12.75">
      <c r="A10" s="4"/>
      <c r="B10" s="4"/>
    </row>
    <row r="11" spans="1:2" s="57" customFormat="1" ht="12.75">
      <c r="A11" s="6" t="s">
        <v>213</v>
      </c>
      <c r="B11" s="8"/>
    </row>
    <row r="12" s="4" customFormat="1" ht="12">
      <c r="A12" s="7" t="s">
        <v>214</v>
      </c>
    </row>
    <row r="13" spans="1:7" s="4" customFormat="1" ht="12">
      <c r="A13" s="4" t="s">
        <v>178</v>
      </c>
      <c r="C13" s="58">
        <f>D2</f>
        <v>780.5</v>
      </c>
      <c r="D13" s="4" t="s">
        <v>305</v>
      </c>
      <c r="F13" s="11">
        <f>D8</f>
        <v>2.23</v>
      </c>
      <c r="G13" s="59"/>
    </row>
    <row r="14" spans="1:7" s="4" customFormat="1" ht="12">
      <c r="A14" s="4" t="s">
        <v>258</v>
      </c>
      <c r="C14" s="58">
        <f>D3</f>
        <v>13.85</v>
      </c>
      <c r="D14" s="4" t="s">
        <v>454</v>
      </c>
      <c r="F14" s="60">
        <f>D9</f>
        <v>413.053</v>
      </c>
      <c r="G14" s="59"/>
    </row>
    <row r="15" spans="1:6" s="4" customFormat="1" ht="12">
      <c r="A15" s="4" t="s">
        <v>119</v>
      </c>
      <c r="C15" s="58">
        <f>(C13*F14+C26*F13)/(F14+F13)</f>
        <v>780.4306291893607</v>
      </c>
      <c r="D15" s="4" t="s">
        <v>455</v>
      </c>
      <c r="F15" s="61">
        <f>D7</f>
        <v>0.05</v>
      </c>
    </row>
    <row r="16" spans="1:6" s="4" customFormat="1" ht="12">
      <c r="A16" s="4" t="s">
        <v>120</v>
      </c>
      <c r="C16" s="58">
        <f>C14</f>
        <v>13.85</v>
      </c>
      <c r="D16" s="4" t="s">
        <v>56</v>
      </c>
      <c r="F16" s="62">
        <f>D5^2</f>
        <v>0.09</v>
      </c>
    </row>
    <row r="17" spans="1:6" s="4" customFormat="1" ht="12">
      <c r="A17" s="4" t="s">
        <v>288</v>
      </c>
      <c r="C17" s="58">
        <f>D4</f>
        <v>1.5</v>
      </c>
      <c r="D17" s="4" t="s">
        <v>253</v>
      </c>
      <c r="F17" s="61">
        <f>D6</f>
        <v>0</v>
      </c>
    </row>
    <row r="18" spans="3:6" s="4" customFormat="1" ht="12">
      <c r="C18" s="7"/>
      <c r="D18" s="4" t="s">
        <v>254</v>
      </c>
      <c r="F18" s="40">
        <f>F15-F17</f>
        <v>0.05</v>
      </c>
    </row>
    <row r="19" s="4" customFormat="1" ht="12"/>
    <row r="20" spans="1:2" s="4" customFormat="1" ht="12">
      <c r="A20" s="4" t="s">
        <v>255</v>
      </c>
      <c r="B20" s="11">
        <f>(LN(C15/C16)+(F18+(F16/2))*C17)/(((F16)^(0.5))*(C17^0.5))</f>
        <v>11.360354091996907</v>
      </c>
    </row>
    <row r="21" spans="1:2" s="4" customFormat="1" ht="12">
      <c r="A21" s="4" t="s">
        <v>538</v>
      </c>
      <c r="B21" s="11">
        <f>NORMSDIST(B20)</f>
        <v>1</v>
      </c>
    </row>
    <row r="22" s="4" customFormat="1" ht="12"/>
    <row r="23" spans="1:2" s="4" customFormat="1" ht="15.75" customHeight="1">
      <c r="A23" s="4" t="s">
        <v>290</v>
      </c>
      <c r="B23" s="11">
        <f>B20-((F16^0.5)*(C17^(0.5)))</f>
        <v>10.99293063057943</v>
      </c>
    </row>
    <row r="24" spans="1:2" s="4" customFormat="1" ht="12">
      <c r="A24" s="4" t="s">
        <v>550</v>
      </c>
      <c r="B24" s="11">
        <f>NORMSDIST(B23)</f>
        <v>1</v>
      </c>
    </row>
    <row r="25" spans="1:2" ht="13.5" thickBot="1">
      <c r="A25" s="4"/>
      <c r="B25" s="4"/>
    </row>
    <row r="26" spans="1:7" s="4" customFormat="1" ht="12.75" thickBot="1">
      <c r="A26" s="4" t="s">
        <v>358</v>
      </c>
      <c r="C26" s="116">
        <f>((EXP((0-F17)*C17))*C15*B21-C16*(EXP((0-F15)*C17))*B24)</f>
        <v>767.5813819037103</v>
      </c>
      <c r="G26" s="67"/>
    </row>
    <row r="27" spans="1:4" s="4" customFormat="1" ht="12.75" thickBot="1">
      <c r="A27" s="4" t="s">
        <v>478</v>
      </c>
      <c r="D27" s="37">
        <f>C26*D8</f>
        <v>1711.706481645274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
  <sheetViews>
    <sheetView workbookViewId="0" topLeftCell="A1">
      <selection activeCell="D7" sqref="D7"/>
    </sheetView>
  </sheetViews>
  <sheetFormatPr defaultColWidth="11.00390625" defaultRowHeight="12.75"/>
  <sheetData>
    <row r="1" s="24" customFormat="1" ht="15">
      <c r="A1" s="24" t="s">
        <v>383</v>
      </c>
    </row>
    <row r="2" spans="1:5" s="4" customFormat="1" ht="12">
      <c r="A2" s="4" t="s">
        <v>464</v>
      </c>
      <c r="D2" s="82">
        <v>1.04</v>
      </c>
      <c r="E2" s="4" t="s">
        <v>139</v>
      </c>
    </row>
    <row r="3" s="4" customFormat="1" ht="12">
      <c r="D3" s="141"/>
    </row>
    <row r="4" s="4" customFormat="1" ht="12">
      <c r="A4" s="4" t="s">
        <v>515</v>
      </c>
    </row>
    <row r="5" spans="1:5" s="4" customFormat="1" ht="12">
      <c r="A5" s="4" t="s">
        <v>510</v>
      </c>
      <c r="D5" s="39">
        <f>'Master Inputs Start here'!B31/('Master Inputs Start here'!B29*'Master Inputs Start here'!B30)</f>
        <v>0.3387161934640359</v>
      </c>
      <c r="E5" s="4" t="s">
        <v>316</v>
      </c>
    </row>
    <row r="6" spans="1:4" s="4" customFormat="1" ht="12">
      <c r="A6" s="4" t="s">
        <v>396</v>
      </c>
      <c r="D6" s="40">
        <f>'Master Inputs Start here'!B15</f>
        <v>0.3399</v>
      </c>
    </row>
    <row r="7" s="4" customFormat="1" ht="12.75" thickBot="1">
      <c r="N7" s="4">
        <f>3.6/2.2</f>
        <v>1.6363636363636362</v>
      </c>
    </row>
    <row r="8" spans="1:4" s="4" customFormat="1" ht="12.75" thickBot="1">
      <c r="A8" s="4" t="s">
        <v>240</v>
      </c>
      <c r="D8" s="41">
        <f>D2*(1+D5*(1-D6))</f>
        <v>1.2725300216778346</v>
      </c>
    </row>
  </sheetData>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J48"/>
  <sheetViews>
    <sheetView zoomScale="125" zoomScaleNormal="125" workbookViewId="0" topLeftCell="A1">
      <selection activeCell="I15" sqref="I15:I29"/>
    </sheetView>
  </sheetViews>
  <sheetFormatPr defaultColWidth="11.00390625" defaultRowHeight="12.75"/>
  <sheetData>
    <row r="1" ht="15.75" thickBot="1">
      <c r="A1" s="24" t="s">
        <v>79</v>
      </c>
    </row>
    <row r="2" spans="1:10" s="26" customFormat="1" ht="13.5" thickBot="1">
      <c r="A2" s="4" t="s">
        <v>70</v>
      </c>
      <c r="B2" s="4"/>
      <c r="C2" s="74">
        <f>'Master Inputs Start here'!B44</f>
        <v>2</v>
      </c>
      <c r="D2" s="4" t="s">
        <v>222</v>
      </c>
      <c r="E2" s="4"/>
      <c r="F2" s="4"/>
      <c r="G2" s="4"/>
      <c r="H2" s="4"/>
      <c r="I2" s="4"/>
      <c r="J2" s="4"/>
    </row>
    <row r="3" spans="1:10" s="26" customFormat="1" ht="13.5" thickBot="1">
      <c r="A3" s="4" t="s">
        <v>289</v>
      </c>
      <c r="B3" s="4"/>
      <c r="C3" s="4"/>
      <c r="D3" s="4"/>
      <c r="E3" s="16"/>
      <c r="F3" s="37">
        <f>IF('Master Inputs Start here'!B5="Yes",('Master Inputs Start here'!B10+'Operating lease converter'!E3),'Master Inputs Start here'!B10)</f>
        <v>17527</v>
      </c>
      <c r="G3" s="4" t="s">
        <v>322</v>
      </c>
      <c r="H3" s="4"/>
      <c r="I3" s="4"/>
      <c r="J3" s="4"/>
    </row>
    <row r="4" spans="1:10" s="26" customFormat="1" ht="13.5" thickBot="1">
      <c r="A4" s="4" t="s">
        <v>4</v>
      </c>
      <c r="B4" s="4"/>
      <c r="C4" s="4"/>
      <c r="D4" s="4"/>
      <c r="E4" s="4"/>
      <c r="F4" s="37">
        <f>IF('Master Inputs Start here'!B5="Yes",('Master Inputs Start here'!B11+'Operating lease converter'!E3),'Master Inputs Start here'!B11)</f>
        <v>6737</v>
      </c>
      <c r="G4" s="4" t="s">
        <v>112</v>
      </c>
      <c r="H4" s="4"/>
      <c r="I4" s="4"/>
      <c r="J4" s="4"/>
    </row>
    <row r="5" spans="1:10" s="26" customFormat="1" ht="13.5" thickBot="1">
      <c r="A5" s="4" t="s">
        <v>14</v>
      </c>
      <c r="B5" s="4"/>
      <c r="C5" s="4"/>
      <c r="D5" s="4"/>
      <c r="E5" s="4"/>
      <c r="F5" s="27">
        <f>'Master Inputs Start here'!B37</f>
        <v>0.05</v>
      </c>
      <c r="G5" s="4"/>
      <c r="H5" s="4"/>
      <c r="I5" s="4"/>
      <c r="J5" s="4"/>
    </row>
    <row r="6" spans="1:10" s="26" customFormat="1" ht="13.5" thickBot="1">
      <c r="A6" s="7" t="s">
        <v>515</v>
      </c>
      <c r="B6" s="4"/>
      <c r="C6" s="4"/>
      <c r="D6" s="4"/>
      <c r="E6" s="4"/>
      <c r="F6" s="16"/>
      <c r="G6" s="4"/>
      <c r="H6" s="4"/>
      <c r="I6" s="4"/>
      <c r="J6" s="4"/>
    </row>
    <row r="7" spans="1:10" s="26" customFormat="1" ht="13.5" thickBot="1">
      <c r="A7" s="4" t="s">
        <v>297</v>
      </c>
      <c r="B7" s="4"/>
      <c r="C7" s="4"/>
      <c r="D7" s="28">
        <f>IF(F4&gt;0,F3/F4,(IF(F3&gt;0,100000,0)))</f>
        <v>2.6016030874276383</v>
      </c>
      <c r="E7" s="4"/>
      <c r="F7" s="16"/>
      <c r="G7" s="4"/>
      <c r="H7" s="4"/>
      <c r="I7" s="4"/>
      <c r="J7" s="4"/>
    </row>
    <row r="8" spans="1:4" s="26" customFormat="1" ht="13.5" thickBot="1">
      <c r="A8" s="4" t="s">
        <v>35</v>
      </c>
      <c r="D8" s="29" t="str">
        <f>IF(C2=1,VLOOKUP(D7,A15:D29,3),(IF(C2=2,VLOOKUP(D7,A34:D48,3),VLOOKUP(D7,F15:I29,3))))</f>
        <v>B+</v>
      </c>
    </row>
    <row r="9" spans="1:4" s="26" customFormat="1" ht="13.5" thickBot="1">
      <c r="A9" s="4" t="s">
        <v>37</v>
      </c>
      <c r="D9" s="38">
        <f>IF(C2=1,VLOOKUP(D7,A15:D29,4),(IF(C2=2,VLOOKUP(D7,A34:D48,4),VLOOKUP(D7,F15:I29,4))))</f>
        <v>0.0425</v>
      </c>
    </row>
    <row r="10" spans="1:4" s="4" customFormat="1" ht="12.75" thickBot="1">
      <c r="A10" s="4" t="s">
        <v>462</v>
      </c>
      <c r="D10" s="30">
        <f>F5+D9</f>
        <v>0.0925</v>
      </c>
    </row>
    <row r="11" s="4" customFormat="1" ht="12">
      <c r="D11" s="31"/>
    </row>
    <row r="12" spans="1:6" s="26" customFormat="1" ht="12.75">
      <c r="A12" s="7" t="s">
        <v>426</v>
      </c>
      <c r="F12" s="7" t="s">
        <v>439</v>
      </c>
    </row>
    <row r="13" spans="1:10" s="26" customFormat="1" ht="12.75">
      <c r="A13" s="32" t="s">
        <v>58</v>
      </c>
      <c r="B13" s="32"/>
      <c r="C13" s="33"/>
      <c r="D13" s="33"/>
      <c r="F13" s="34" t="s">
        <v>525</v>
      </c>
      <c r="G13" s="5"/>
      <c r="H13" s="4"/>
      <c r="I13" s="4"/>
      <c r="J13" s="4"/>
    </row>
    <row r="14" spans="1:10" s="26" customFormat="1" ht="12.75">
      <c r="A14" s="35" t="s">
        <v>526</v>
      </c>
      <c r="B14" s="35" t="s">
        <v>527</v>
      </c>
      <c r="C14" s="35" t="s">
        <v>158</v>
      </c>
      <c r="D14" s="35" t="s">
        <v>159</v>
      </c>
      <c r="F14" s="12" t="s">
        <v>32</v>
      </c>
      <c r="G14" s="12" t="s">
        <v>527</v>
      </c>
      <c r="H14" s="12" t="s">
        <v>158</v>
      </c>
      <c r="I14" s="12" t="s">
        <v>159</v>
      </c>
      <c r="J14" s="12" t="s">
        <v>469</v>
      </c>
    </row>
    <row r="15" spans="1:10" s="26" customFormat="1" ht="12.75">
      <c r="A15" s="12">
        <v>-100000</v>
      </c>
      <c r="B15" s="12">
        <v>0.199999</v>
      </c>
      <c r="C15" s="12" t="s">
        <v>197</v>
      </c>
      <c r="D15" s="13">
        <v>0.15</v>
      </c>
      <c r="F15" s="12">
        <v>-100000</v>
      </c>
      <c r="G15" s="12">
        <v>0.049999</v>
      </c>
      <c r="H15" s="12" t="s">
        <v>197</v>
      </c>
      <c r="I15" s="13">
        <v>0.15</v>
      </c>
      <c r="J15" s="13">
        <v>0.15</v>
      </c>
    </row>
    <row r="16" spans="1:10" s="26" customFormat="1" ht="12.75">
      <c r="A16" s="12">
        <v>0.2</v>
      </c>
      <c r="B16" s="12">
        <v>0.649999</v>
      </c>
      <c r="C16" s="12" t="s">
        <v>198</v>
      </c>
      <c r="D16" s="13">
        <v>0.12</v>
      </c>
      <c r="F16" s="12">
        <v>0.05</v>
      </c>
      <c r="G16" s="12">
        <v>0.099999</v>
      </c>
      <c r="H16" s="12" t="s">
        <v>198</v>
      </c>
      <c r="I16" s="13">
        <v>0.12</v>
      </c>
      <c r="J16" s="13">
        <v>0.1</v>
      </c>
    </row>
    <row r="17" spans="1:10" s="26" customFormat="1" ht="12.75">
      <c r="A17" s="12">
        <v>0.65</v>
      </c>
      <c r="B17" s="12">
        <v>0.799999</v>
      </c>
      <c r="C17" s="12" t="s">
        <v>445</v>
      </c>
      <c r="D17" s="13">
        <v>0.1</v>
      </c>
      <c r="F17" s="12">
        <v>0.1</v>
      </c>
      <c r="G17" s="12">
        <v>0.199999</v>
      </c>
      <c r="H17" s="12" t="s">
        <v>445</v>
      </c>
      <c r="I17" s="13">
        <v>0.1</v>
      </c>
      <c r="J17" s="13">
        <v>0.08</v>
      </c>
    </row>
    <row r="18" spans="1:10" s="26" customFormat="1" ht="12.75">
      <c r="A18" s="12">
        <v>0.8</v>
      </c>
      <c r="B18" s="12">
        <v>1.249999</v>
      </c>
      <c r="C18" s="12" t="s">
        <v>446</v>
      </c>
      <c r="D18" s="13">
        <v>0.085</v>
      </c>
      <c r="F18" s="12">
        <v>0.2</v>
      </c>
      <c r="G18" s="12">
        <v>0.299999</v>
      </c>
      <c r="H18" s="12" t="s">
        <v>446</v>
      </c>
      <c r="I18" s="13">
        <v>0.085</v>
      </c>
      <c r="J18" s="13">
        <v>0.06</v>
      </c>
    </row>
    <row r="19" spans="1:10" s="26" customFormat="1" ht="12.75">
      <c r="A19" s="12">
        <v>1.25</v>
      </c>
      <c r="B19" s="12">
        <v>1.499999</v>
      </c>
      <c r="C19" s="12" t="s">
        <v>397</v>
      </c>
      <c r="D19" s="13">
        <v>0.055</v>
      </c>
      <c r="F19" s="12">
        <v>0.3</v>
      </c>
      <c r="G19" s="12">
        <v>0.399999</v>
      </c>
      <c r="H19" s="12" t="s">
        <v>397</v>
      </c>
      <c r="I19" s="13">
        <v>0.055</v>
      </c>
      <c r="J19" s="13">
        <v>0.05</v>
      </c>
    </row>
    <row r="20" spans="1:10" s="26" customFormat="1" ht="12.75">
      <c r="A20" s="12">
        <v>1.5</v>
      </c>
      <c r="B20" s="12">
        <v>1.749999</v>
      </c>
      <c r="C20" s="12" t="s">
        <v>398</v>
      </c>
      <c r="D20" s="13">
        <v>0.0525</v>
      </c>
      <c r="F20" s="12">
        <v>0.4</v>
      </c>
      <c r="G20" s="12">
        <v>0.499999</v>
      </c>
      <c r="H20" s="12" t="s">
        <v>398</v>
      </c>
      <c r="I20" s="13">
        <v>0.0525</v>
      </c>
      <c r="J20" s="13">
        <v>0.045</v>
      </c>
    </row>
    <row r="21" spans="1:10" s="26" customFormat="1" ht="12.75">
      <c r="A21" s="12">
        <v>1.75</v>
      </c>
      <c r="B21" s="12">
        <v>1.999999</v>
      </c>
      <c r="C21" s="12" t="s">
        <v>399</v>
      </c>
      <c r="D21" s="13">
        <v>0.0425</v>
      </c>
      <c r="F21" s="12">
        <v>0.5</v>
      </c>
      <c r="G21" s="12">
        <v>0.599999</v>
      </c>
      <c r="H21" s="12" t="s">
        <v>399</v>
      </c>
      <c r="I21" s="13">
        <v>0.0425</v>
      </c>
      <c r="J21" s="13">
        <v>0.04</v>
      </c>
    </row>
    <row r="22" spans="1:10" s="26" customFormat="1" ht="12.75">
      <c r="A22" s="12">
        <v>2</v>
      </c>
      <c r="B22" s="12">
        <v>2.2499999</v>
      </c>
      <c r="C22" s="12" t="s">
        <v>172</v>
      </c>
      <c r="D22" s="13">
        <v>0.04</v>
      </c>
      <c r="F22" s="12">
        <v>0.6</v>
      </c>
      <c r="G22" s="12">
        <v>0.749999</v>
      </c>
      <c r="H22" s="12" t="s">
        <v>172</v>
      </c>
      <c r="I22" s="13">
        <v>0.04</v>
      </c>
      <c r="J22" s="13">
        <v>0.03</v>
      </c>
    </row>
    <row r="23" spans="1:10" s="26" customFormat="1" ht="12.75">
      <c r="A23" s="12">
        <v>2.25</v>
      </c>
      <c r="B23" s="12">
        <v>2.49999</v>
      </c>
      <c r="C23" s="12" t="s">
        <v>231</v>
      </c>
      <c r="D23" s="13">
        <v>0.035</v>
      </c>
      <c r="F23" s="12">
        <v>0.75</v>
      </c>
      <c r="G23" s="12">
        <v>0.899999</v>
      </c>
      <c r="H23" s="12" t="s">
        <v>231</v>
      </c>
      <c r="I23" s="13">
        <v>0.035</v>
      </c>
      <c r="J23" s="13">
        <v>0.025</v>
      </c>
    </row>
    <row r="24" spans="1:10" s="26" customFormat="1" ht="12.75">
      <c r="A24" s="12">
        <v>2.5</v>
      </c>
      <c r="B24" s="12">
        <v>2.999999</v>
      </c>
      <c r="C24" s="12" t="s">
        <v>173</v>
      </c>
      <c r="D24" s="13">
        <v>0.02</v>
      </c>
      <c r="F24" s="12">
        <v>0.9</v>
      </c>
      <c r="G24" s="12">
        <v>1.199999</v>
      </c>
      <c r="H24" s="12" t="s">
        <v>173</v>
      </c>
      <c r="I24" s="13">
        <v>0.02</v>
      </c>
      <c r="J24" s="13">
        <v>0.015</v>
      </c>
    </row>
    <row r="25" spans="1:10" s="26" customFormat="1" ht="12.75">
      <c r="A25" s="12">
        <v>3</v>
      </c>
      <c r="B25" s="12">
        <v>4.249999</v>
      </c>
      <c r="C25" s="12" t="s">
        <v>174</v>
      </c>
      <c r="D25" s="13">
        <v>0.015</v>
      </c>
      <c r="F25" s="12">
        <v>1.2</v>
      </c>
      <c r="G25" s="12">
        <v>1.49999</v>
      </c>
      <c r="H25" s="12" t="s">
        <v>174</v>
      </c>
      <c r="I25" s="13">
        <v>0.015</v>
      </c>
      <c r="J25" s="13">
        <v>0.013</v>
      </c>
    </row>
    <row r="26" spans="1:10" s="26" customFormat="1" ht="12.75">
      <c r="A26" s="12">
        <v>4.25</v>
      </c>
      <c r="B26" s="12">
        <v>5.499999</v>
      </c>
      <c r="C26" s="12" t="s">
        <v>36</v>
      </c>
      <c r="D26" s="13">
        <v>0.0125</v>
      </c>
      <c r="F26" s="12">
        <v>1.5</v>
      </c>
      <c r="G26" s="12">
        <v>1.99999</v>
      </c>
      <c r="H26" s="12" t="s">
        <v>36</v>
      </c>
      <c r="I26" s="13">
        <v>0.0125</v>
      </c>
      <c r="J26" s="13">
        <v>0.012</v>
      </c>
    </row>
    <row r="27" spans="1:10" s="26" customFormat="1" ht="12.75">
      <c r="A27" s="12">
        <v>5.5</v>
      </c>
      <c r="B27" s="12">
        <v>6.499999</v>
      </c>
      <c r="C27" s="12" t="s">
        <v>175</v>
      </c>
      <c r="D27" s="13">
        <v>0.01</v>
      </c>
      <c r="F27" s="12">
        <v>2</v>
      </c>
      <c r="G27" s="12">
        <v>2.49999</v>
      </c>
      <c r="H27" s="12" t="s">
        <v>175</v>
      </c>
      <c r="I27" s="13">
        <v>0.01</v>
      </c>
      <c r="J27" s="13">
        <v>0.0115</v>
      </c>
    </row>
    <row r="28" spans="1:10" s="26" customFormat="1" ht="12.75">
      <c r="A28" s="12">
        <v>6.5</v>
      </c>
      <c r="B28" s="12">
        <v>8.499999</v>
      </c>
      <c r="C28" s="12" t="s">
        <v>394</v>
      </c>
      <c r="D28" s="13">
        <v>0.0075</v>
      </c>
      <c r="F28" s="12">
        <v>2.5</v>
      </c>
      <c r="G28" s="12">
        <v>2.99999</v>
      </c>
      <c r="H28" s="12" t="s">
        <v>394</v>
      </c>
      <c r="I28" s="13">
        <v>0.0075</v>
      </c>
      <c r="J28" s="13">
        <v>0.009</v>
      </c>
    </row>
    <row r="29" spans="1:10" s="26" customFormat="1" ht="12.75">
      <c r="A29" s="21">
        <v>8.5</v>
      </c>
      <c r="B29" s="12">
        <v>100000</v>
      </c>
      <c r="C29" s="12" t="s">
        <v>395</v>
      </c>
      <c r="D29" s="13">
        <v>0.005</v>
      </c>
      <c r="F29" s="12">
        <v>3</v>
      </c>
      <c r="G29" s="12">
        <v>100000</v>
      </c>
      <c r="H29" s="12" t="s">
        <v>395</v>
      </c>
      <c r="I29" s="13">
        <v>0.005</v>
      </c>
      <c r="J29" s="13">
        <v>0.007</v>
      </c>
    </row>
    <row r="30" s="26" customFormat="1" ht="12.75"/>
    <row r="31" s="26" customFormat="1" ht="12.75">
      <c r="A31" s="7" t="s">
        <v>287</v>
      </c>
    </row>
    <row r="32" spans="1:4" s="26" customFormat="1" ht="12.75">
      <c r="A32" s="32" t="s">
        <v>58</v>
      </c>
      <c r="B32" s="36"/>
      <c r="C32" s="12"/>
      <c r="D32" s="12"/>
    </row>
    <row r="33" spans="1:4" s="26" customFormat="1" ht="12.75">
      <c r="A33" s="12" t="s">
        <v>32</v>
      </c>
      <c r="B33" s="12" t="s">
        <v>527</v>
      </c>
      <c r="C33" s="12" t="s">
        <v>158</v>
      </c>
      <c r="D33" s="12" t="s">
        <v>159</v>
      </c>
    </row>
    <row r="34" spans="1:4" s="26" customFormat="1" ht="12.75">
      <c r="A34" s="12">
        <v>-100000</v>
      </c>
      <c r="B34" s="12">
        <v>0.499999</v>
      </c>
      <c r="C34" s="12" t="s">
        <v>197</v>
      </c>
      <c r="D34" s="13">
        <v>0.15</v>
      </c>
    </row>
    <row r="35" spans="1:4" s="26" customFormat="1" ht="12.75">
      <c r="A35" s="12">
        <v>0.5</v>
      </c>
      <c r="B35" s="12">
        <v>0.799999</v>
      </c>
      <c r="C35" s="12" t="s">
        <v>198</v>
      </c>
      <c r="D35" s="13">
        <v>0.12</v>
      </c>
    </row>
    <row r="36" spans="1:4" s="26" customFormat="1" ht="12.75">
      <c r="A36" s="12">
        <v>0.8</v>
      </c>
      <c r="B36" s="12">
        <v>1.249999</v>
      </c>
      <c r="C36" s="12" t="s">
        <v>445</v>
      </c>
      <c r="D36" s="13">
        <v>0.1</v>
      </c>
    </row>
    <row r="37" spans="1:4" s="26" customFormat="1" ht="12.75">
      <c r="A37" s="12">
        <v>1.25</v>
      </c>
      <c r="B37" s="12">
        <v>1.499999</v>
      </c>
      <c r="C37" s="12" t="s">
        <v>446</v>
      </c>
      <c r="D37" s="13">
        <v>0.085</v>
      </c>
    </row>
    <row r="38" spans="1:4" s="26" customFormat="1" ht="12.75">
      <c r="A38" s="12">
        <v>1.5</v>
      </c>
      <c r="B38" s="12">
        <v>1.999999</v>
      </c>
      <c r="C38" s="12" t="s">
        <v>397</v>
      </c>
      <c r="D38" s="13">
        <v>0.055</v>
      </c>
    </row>
    <row r="39" spans="1:4" s="26" customFormat="1" ht="12.75">
      <c r="A39" s="12">
        <v>2</v>
      </c>
      <c r="B39" s="12">
        <v>2.499999</v>
      </c>
      <c r="C39" s="12" t="s">
        <v>398</v>
      </c>
      <c r="D39" s="13">
        <v>0.0525</v>
      </c>
    </row>
    <row r="40" spans="1:4" s="26" customFormat="1" ht="12.75">
      <c r="A40" s="12">
        <v>2.5</v>
      </c>
      <c r="B40" s="12">
        <v>2.999999</v>
      </c>
      <c r="C40" s="12" t="s">
        <v>399</v>
      </c>
      <c r="D40" s="13">
        <v>0.0425</v>
      </c>
    </row>
    <row r="41" spans="1:4" s="26" customFormat="1" ht="12.75">
      <c r="A41" s="12">
        <v>3</v>
      </c>
      <c r="B41" s="12">
        <v>3.499999</v>
      </c>
      <c r="C41" s="12" t="s">
        <v>172</v>
      </c>
      <c r="D41" s="13">
        <v>0.04</v>
      </c>
    </row>
    <row r="42" spans="1:4" s="26" customFormat="1" ht="12.75">
      <c r="A42" s="12">
        <v>3.5</v>
      </c>
      <c r="B42" s="12">
        <v>3.9999999</v>
      </c>
      <c r="C42" s="12" t="s">
        <v>231</v>
      </c>
      <c r="D42" s="13">
        <v>0.035</v>
      </c>
    </row>
    <row r="43" spans="1:4" s="26" customFormat="1" ht="12.75">
      <c r="A43" s="12">
        <v>4</v>
      </c>
      <c r="B43" s="12">
        <v>4.499999</v>
      </c>
      <c r="C43" s="12" t="s">
        <v>173</v>
      </c>
      <c r="D43" s="13">
        <v>0.02</v>
      </c>
    </row>
    <row r="44" spans="1:4" s="26" customFormat="1" ht="12.75">
      <c r="A44" s="12">
        <v>4.5</v>
      </c>
      <c r="B44" s="12">
        <v>5.999999</v>
      </c>
      <c r="C44" s="12" t="s">
        <v>174</v>
      </c>
      <c r="D44" s="13">
        <v>0.015</v>
      </c>
    </row>
    <row r="45" spans="1:4" s="26" customFormat="1" ht="12.75">
      <c r="A45" s="12">
        <v>6</v>
      </c>
      <c r="B45" s="12">
        <v>7.499999</v>
      </c>
      <c r="C45" s="12" t="s">
        <v>36</v>
      </c>
      <c r="D45" s="13">
        <v>0.0125</v>
      </c>
    </row>
    <row r="46" spans="1:4" s="26" customFormat="1" ht="12.75">
      <c r="A46" s="12">
        <v>7.5</v>
      </c>
      <c r="B46" s="12">
        <v>9.499999</v>
      </c>
      <c r="C46" s="12" t="s">
        <v>175</v>
      </c>
      <c r="D46" s="13">
        <v>0.01</v>
      </c>
    </row>
    <row r="47" spans="1:10" ht="12.75">
      <c r="A47" s="12">
        <v>9.5</v>
      </c>
      <c r="B47" s="12">
        <v>12.499999</v>
      </c>
      <c r="C47" s="12" t="s">
        <v>394</v>
      </c>
      <c r="D47" s="13">
        <v>0.0075</v>
      </c>
      <c r="F47" s="26"/>
      <c r="G47" s="26"/>
      <c r="H47" s="26"/>
      <c r="I47" s="26"/>
      <c r="J47" s="26"/>
    </row>
    <row r="48" spans="1:4" ht="12.75">
      <c r="A48" s="12">
        <v>12.5</v>
      </c>
      <c r="B48" s="12">
        <v>100000</v>
      </c>
      <c r="C48" s="12" t="s">
        <v>395</v>
      </c>
      <c r="D48" s="13">
        <v>0.005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S102"/>
  <sheetViews>
    <sheetView zoomScale="125" zoomScaleNormal="125" workbookViewId="0" topLeftCell="A1">
      <selection activeCell="A1" sqref="A1"/>
    </sheetView>
  </sheetViews>
  <sheetFormatPr defaultColWidth="11.00390625" defaultRowHeight="12.75"/>
  <cols>
    <col min="1" max="1" width="18.75390625" style="4" customWidth="1"/>
    <col min="2" max="2" width="9.25390625" style="9" customWidth="1"/>
    <col min="3" max="3" width="10.625" style="9" customWidth="1"/>
    <col min="4" max="4" width="8.875" style="9" customWidth="1"/>
    <col min="5" max="5" width="13.875" style="9" customWidth="1"/>
    <col min="6" max="6" width="12.75390625" style="9" customWidth="1"/>
    <col min="7" max="8" width="7.875" style="9" bestFit="1" customWidth="1"/>
    <col min="9" max="9" width="17.625" style="9" customWidth="1"/>
    <col min="10" max="10" width="18.625" style="9" customWidth="1"/>
    <col min="11" max="11" width="8.75390625" style="9" customWidth="1"/>
    <col min="12" max="12" width="14.375" style="9" customWidth="1"/>
    <col min="13" max="13" width="25.25390625" style="9" customWidth="1"/>
    <col min="14" max="14" width="13.00390625" style="9" customWidth="1"/>
    <col min="15" max="15" width="9.75390625" style="9" customWidth="1"/>
    <col min="16" max="16" width="9.25390625" style="9" customWidth="1"/>
  </cols>
  <sheetData>
    <row r="1" spans="1:19" s="17" customFormat="1" ht="12.75">
      <c r="A1" s="158" t="s">
        <v>365</v>
      </c>
      <c r="B1" s="159" t="s">
        <v>334</v>
      </c>
      <c r="C1" s="158" t="s">
        <v>382</v>
      </c>
      <c r="D1" s="158" t="s">
        <v>285</v>
      </c>
      <c r="E1" s="158" t="s">
        <v>302</v>
      </c>
      <c r="F1" s="158" t="s">
        <v>381</v>
      </c>
      <c r="G1" s="158" t="s">
        <v>490</v>
      </c>
      <c r="H1" s="158" t="s">
        <v>512</v>
      </c>
      <c r="I1" s="158" t="s">
        <v>414</v>
      </c>
      <c r="J1" s="158" t="s">
        <v>511</v>
      </c>
      <c r="K1" s="158" t="s">
        <v>335</v>
      </c>
      <c r="L1" s="158" t="s">
        <v>41</v>
      </c>
      <c r="M1" s="158" t="s">
        <v>513</v>
      </c>
      <c r="N1" s="158" t="s">
        <v>23</v>
      </c>
      <c r="O1" s="158" t="s">
        <v>385</v>
      </c>
      <c r="P1" s="158" t="s">
        <v>386</v>
      </c>
      <c r="Q1" s="158" t="s">
        <v>261</v>
      </c>
      <c r="R1" s="160" t="s">
        <v>129</v>
      </c>
      <c r="S1" s="158" t="s">
        <v>387</v>
      </c>
    </row>
    <row r="2" spans="1:19" ht="12.75">
      <c r="A2" s="161" t="s">
        <v>410</v>
      </c>
      <c r="B2" s="162">
        <v>30</v>
      </c>
      <c r="C2" s="163">
        <v>1.431875</v>
      </c>
      <c r="D2" s="163">
        <v>0.86789666413758</v>
      </c>
      <c r="E2" s="164">
        <v>0.8069</v>
      </c>
      <c r="F2" s="164">
        <v>1.26305156145894</v>
      </c>
      <c r="G2" s="164">
        <v>0.558118773327762</v>
      </c>
      <c r="H2" s="164">
        <v>0.215425552397896</v>
      </c>
      <c r="I2" s="164">
        <v>0.130088334143226</v>
      </c>
      <c r="J2" s="164">
        <v>0.189040551912568</v>
      </c>
      <c r="K2" s="164">
        <v>0.179346940518748</v>
      </c>
      <c r="L2" s="164">
        <v>0.119515679042899</v>
      </c>
      <c r="M2" s="164">
        <v>0.022649120341499</v>
      </c>
      <c r="N2" s="164">
        <v>0.668856675239654</v>
      </c>
      <c r="O2" s="164">
        <v>-0.151305214710455</v>
      </c>
      <c r="P2" s="164">
        <v>0.0716681264858874</v>
      </c>
      <c r="Q2" s="164">
        <v>-0.0116445809343054</v>
      </c>
      <c r="R2" s="163">
        <v>1.08846249450276</v>
      </c>
      <c r="S2" s="163">
        <v>0.942189791921019</v>
      </c>
    </row>
    <row r="3" spans="1:19" ht="12.75">
      <c r="A3" s="161" t="s">
        <v>463</v>
      </c>
      <c r="B3" s="162">
        <v>66</v>
      </c>
      <c r="C3" s="163">
        <v>1.2748</v>
      </c>
      <c r="D3" s="163">
        <v>1.19588949063204</v>
      </c>
      <c r="E3" s="164">
        <v>0.477496</v>
      </c>
      <c r="F3" s="164">
        <v>0.272084392516346</v>
      </c>
      <c r="G3" s="164">
        <v>0.213888633582028</v>
      </c>
      <c r="H3" s="164">
        <v>0.255156557468979</v>
      </c>
      <c r="I3" s="164">
        <v>0.195306546283101</v>
      </c>
      <c r="J3" s="164">
        <v>0.241049090909091</v>
      </c>
      <c r="K3" s="164">
        <v>0.123075859874721</v>
      </c>
      <c r="L3" s="164">
        <v>0.0831482001342936</v>
      </c>
      <c r="M3" s="164">
        <v>0.0357324061554311</v>
      </c>
      <c r="N3" s="164">
        <v>1.15907759580875</v>
      </c>
      <c r="O3" s="164">
        <v>-0.00612066190200244</v>
      </c>
      <c r="P3" s="164">
        <v>0.124175854913702</v>
      </c>
      <c r="Q3" s="164">
        <v>-0.000496732182761754</v>
      </c>
      <c r="R3" s="163">
        <v>2.34889686087803</v>
      </c>
      <c r="S3" s="163">
        <v>0.726831130365996</v>
      </c>
    </row>
    <row r="4" spans="1:19" ht="12.75">
      <c r="A4" s="161" t="s">
        <v>324</v>
      </c>
      <c r="B4" s="162">
        <v>44</v>
      </c>
      <c r="C4" s="163">
        <v>1.15428571428571</v>
      </c>
      <c r="D4" s="163">
        <v>0.86443494308781</v>
      </c>
      <c r="E4" s="164">
        <v>0.604589285714286</v>
      </c>
      <c r="F4" s="164">
        <v>0.782118533571604</v>
      </c>
      <c r="G4" s="164">
        <v>0.438870096931282</v>
      </c>
      <c r="H4" s="164">
        <v>0.317703343412845</v>
      </c>
      <c r="I4" s="164">
        <v>0.219979445016843</v>
      </c>
      <c r="J4" s="164">
        <v>0.229962045454545</v>
      </c>
      <c r="K4" s="164">
        <v>0.135701711596339</v>
      </c>
      <c r="L4" s="164">
        <v>0.110495710623408</v>
      </c>
      <c r="M4" s="164">
        <v>0.00165788977553235</v>
      </c>
      <c r="N4" s="164">
        <v>1.58611549246407</v>
      </c>
      <c r="O4" s="164">
        <v>-0.0800507174388084</v>
      </c>
      <c r="P4" s="164">
        <v>0.0933029457076996</v>
      </c>
      <c r="Q4" s="164">
        <v>0.136830428859989</v>
      </c>
      <c r="R4" s="163">
        <v>1.99084148855857</v>
      </c>
      <c r="S4" s="163">
        <v>0.653376783096011</v>
      </c>
    </row>
    <row r="5" spans="1:19" ht="12.75">
      <c r="A5" s="161" t="s">
        <v>133</v>
      </c>
      <c r="B5" s="162">
        <v>53</v>
      </c>
      <c r="C5" s="163">
        <v>1.13972222222222</v>
      </c>
      <c r="D5" s="163">
        <v>0.930932137213516</v>
      </c>
      <c r="E5" s="164">
        <v>0.683327777777778</v>
      </c>
      <c r="F5" s="164">
        <v>0.443228756990024</v>
      </c>
      <c r="G5" s="164">
        <v>0.307109150121437</v>
      </c>
      <c r="H5" s="164">
        <v>0.163805241889915</v>
      </c>
      <c r="I5" s="164">
        <v>0.180475313905884</v>
      </c>
      <c r="J5" s="164">
        <v>0.172109811320755</v>
      </c>
      <c r="K5" s="164">
        <v>0.129825215355924</v>
      </c>
      <c r="L5" s="164">
        <v>0.101787683226977</v>
      </c>
      <c r="M5" s="164">
        <v>0.0268946458098102</v>
      </c>
      <c r="N5" s="164">
        <v>1.41224586102481</v>
      </c>
      <c r="O5" s="164">
        <v>0.195519285826049</v>
      </c>
      <c r="P5" s="164">
        <v>0.0841527130337498</v>
      </c>
      <c r="Q5" s="164">
        <v>-0.00709647621477589</v>
      </c>
      <c r="R5" s="163">
        <v>1.77305650530862</v>
      </c>
      <c r="S5" s="163">
        <v>0.635871932473178</v>
      </c>
    </row>
    <row r="6" spans="1:19" ht="12.75">
      <c r="A6" s="161" t="s">
        <v>85</v>
      </c>
      <c r="B6" s="162">
        <v>20</v>
      </c>
      <c r="C6" s="163">
        <v>1.4875</v>
      </c>
      <c r="D6" s="163">
        <v>0.757364414325</v>
      </c>
      <c r="E6" s="164">
        <v>0.34915</v>
      </c>
      <c r="F6" s="164">
        <v>1.83747934605868</v>
      </c>
      <c r="G6" s="164">
        <v>0.647574527233468</v>
      </c>
      <c r="H6" s="164">
        <v>0.853517959666601</v>
      </c>
      <c r="I6" s="164">
        <v>0.188028189893287</v>
      </c>
      <c r="J6" s="164">
        <v>0.243594</v>
      </c>
      <c r="K6" s="164">
        <v>0.130965826858921</v>
      </c>
      <c r="L6" s="164">
        <v>0.0795769185811373</v>
      </c>
      <c r="M6" s="164">
        <v>0.00573234145871616</v>
      </c>
      <c r="N6" s="164">
        <v>0.906850852331598</v>
      </c>
      <c r="O6" s="164">
        <v>0.132694210492739</v>
      </c>
      <c r="P6" s="164">
        <v>0.0870748635763794</v>
      </c>
      <c r="Q6" s="164">
        <v>0.0647961798007277</v>
      </c>
      <c r="R6" s="163">
        <v>2.36284833901393</v>
      </c>
      <c r="S6" s="163">
        <v>0.505813874653034</v>
      </c>
    </row>
    <row r="7" spans="1:19" ht="12.75">
      <c r="A7" s="161" t="s">
        <v>313</v>
      </c>
      <c r="B7" s="162">
        <v>54</v>
      </c>
      <c r="C7" s="163">
        <v>1.55833333333333</v>
      </c>
      <c r="D7" s="163">
        <v>1.10215116672325</v>
      </c>
      <c r="E7" s="164">
        <v>0.520422222222222</v>
      </c>
      <c r="F7" s="164">
        <v>0.941887983813721</v>
      </c>
      <c r="G7" s="164">
        <v>0.485037237814266</v>
      </c>
      <c r="H7" s="164">
        <v>0.197924063265077</v>
      </c>
      <c r="I7" s="164">
        <v>0.218064263713559</v>
      </c>
      <c r="J7" s="164">
        <v>0.196118827160494</v>
      </c>
      <c r="K7" s="164">
        <v>0.0765172752492709</v>
      </c>
      <c r="L7" s="164">
        <v>0.0556084795394535</v>
      </c>
      <c r="M7" s="164">
        <v>0.00899794127320069</v>
      </c>
      <c r="N7" s="164">
        <v>0.947338129496403</v>
      </c>
      <c r="O7" s="164">
        <v>0.0644108959913548</v>
      </c>
      <c r="P7" s="164">
        <v>0.1795395675481</v>
      </c>
      <c r="Q7" s="164">
        <v>-0.0419600673290022</v>
      </c>
      <c r="R7" s="163">
        <v>3.92142107677743</v>
      </c>
      <c r="S7" s="163">
        <v>0.288283065129298</v>
      </c>
    </row>
    <row r="8" spans="1:19" ht="12.75">
      <c r="A8" s="161" t="s">
        <v>243</v>
      </c>
      <c r="B8" s="162">
        <v>477</v>
      </c>
      <c r="C8" s="163">
        <v>0.714692482915716</v>
      </c>
      <c r="D8" s="163">
        <v>0.469683684460866</v>
      </c>
      <c r="E8" s="164">
        <v>0.274864610389611</v>
      </c>
      <c r="F8" s="164">
        <v>0.915224941013732</v>
      </c>
      <c r="G8" s="164">
        <v>0.477868119516709</v>
      </c>
      <c r="H8" s="164">
        <v>0.145772341324192</v>
      </c>
      <c r="I8" s="164" t="s">
        <v>433</v>
      </c>
      <c r="J8" s="164">
        <v>0.259141153039832</v>
      </c>
      <c r="K8" s="164" t="s">
        <v>433</v>
      </c>
      <c r="L8" s="164" t="s">
        <v>433</v>
      </c>
      <c r="M8" s="164" t="s">
        <v>433</v>
      </c>
      <c r="N8" s="164" t="s">
        <v>433</v>
      </c>
      <c r="O8" s="164" t="s">
        <v>433</v>
      </c>
      <c r="P8" s="164">
        <v>0.360689183817009</v>
      </c>
      <c r="Q8" s="164">
        <v>0</v>
      </c>
      <c r="R8" s="163" t="s">
        <v>433</v>
      </c>
      <c r="S8" s="163" t="s">
        <v>433</v>
      </c>
    </row>
    <row r="9" spans="1:19" ht="12.75">
      <c r="A9" s="161" t="s">
        <v>434</v>
      </c>
      <c r="B9" s="162">
        <v>8</v>
      </c>
      <c r="C9" s="163">
        <v>0.857142857142857</v>
      </c>
      <c r="D9" s="163">
        <v>0.825810163022402</v>
      </c>
      <c r="E9" s="164">
        <v>0.178475</v>
      </c>
      <c r="F9" s="164">
        <v>0.103614118397312</v>
      </c>
      <c r="G9" s="164">
        <v>0.0938861841925165</v>
      </c>
      <c r="H9" s="164">
        <v>0.231900142287355</v>
      </c>
      <c r="I9" s="164" t="s">
        <v>433</v>
      </c>
      <c r="J9" s="164">
        <v>0.15077875</v>
      </c>
      <c r="K9" s="164" t="s">
        <v>433</v>
      </c>
      <c r="L9" s="164" t="s">
        <v>433</v>
      </c>
      <c r="M9" s="164" t="s">
        <v>433</v>
      </c>
      <c r="N9" s="164" t="s">
        <v>433</v>
      </c>
      <c r="O9" s="164" t="s">
        <v>433</v>
      </c>
      <c r="P9" s="164">
        <v>0.467534903548972</v>
      </c>
      <c r="Q9" s="164">
        <v>0</v>
      </c>
      <c r="R9" s="163" t="s">
        <v>433</v>
      </c>
      <c r="S9" s="163" t="s">
        <v>433</v>
      </c>
    </row>
    <row r="10" spans="1:19" ht="12.75">
      <c r="A10" s="161" t="s">
        <v>151</v>
      </c>
      <c r="B10" s="162">
        <v>39</v>
      </c>
      <c r="C10" s="163">
        <v>0.907894736842105</v>
      </c>
      <c r="D10" s="163">
        <v>0.66373349256732</v>
      </c>
      <c r="E10" s="164">
        <v>0.271275</v>
      </c>
      <c r="F10" s="164">
        <v>0.689756146095358</v>
      </c>
      <c r="G10" s="164">
        <v>0.408198631316849</v>
      </c>
      <c r="H10" s="164">
        <v>0.171884911809956</v>
      </c>
      <c r="I10" s="164" t="s">
        <v>433</v>
      </c>
      <c r="J10" s="164">
        <v>0.268103076923077</v>
      </c>
      <c r="K10" s="164" t="s">
        <v>433</v>
      </c>
      <c r="L10" s="164" t="s">
        <v>433</v>
      </c>
      <c r="M10" s="164" t="s">
        <v>433</v>
      </c>
      <c r="N10" s="164" t="s">
        <v>433</v>
      </c>
      <c r="O10" s="164" t="s">
        <v>433</v>
      </c>
      <c r="P10" s="164">
        <v>0.546432116571574</v>
      </c>
      <c r="Q10" s="164">
        <v>0</v>
      </c>
      <c r="R10" s="163" t="s">
        <v>433</v>
      </c>
      <c r="S10" s="163" t="s">
        <v>433</v>
      </c>
    </row>
    <row r="11" spans="1:19" ht="12.75">
      <c r="A11" s="161" t="s">
        <v>303</v>
      </c>
      <c r="B11" s="162">
        <v>41</v>
      </c>
      <c r="C11" s="163">
        <v>0.948888888888889</v>
      </c>
      <c r="D11" s="163">
        <v>0.846237767527468</v>
      </c>
      <c r="E11" s="164">
        <v>0.545307407407408</v>
      </c>
      <c r="F11" s="164">
        <v>0.190245147663372</v>
      </c>
      <c r="G11" s="164">
        <v>0.159836944546131</v>
      </c>
      <c r="H11" s="164">
        <v>0.248462339453842</v>
      </c>
      <c r="I11" s="164">
        <v>0.189820265086885</v>
      </c>
      <c r="J11" s="164">
        <v>0.164618780487805</v>
      </c>
      <c r="K11" s="164">
        <v>0.199985728005721</v>
      </c>
      <c r="L11" s="164">
        <v>0.147461407916299</v>
      </c>
      <c r="M11" s="164">
        <v>0.0577209324861377</v>
      </c>
      <c r="N11" s="164">
        <v>1.15007776049767</v>
      </c>
      <c r="O11" s="164">
        <v>0.0515979569047987</v>
      </c>
      <c r="P11" s="164">
        <v>0.23378107407919</v>
      </c>
      <c r="Q11" s="164">
        <v>0.0525884293778983</v>
      </c>
      <c r="R11" s="163">
        <v>1.28725385013704</v>
      </c>
      <c r="S11" s="163">
        <v>1.98941219133942</v>
      </c>
    </row>
    <row r="12" spans="1:19" ht="12.75">
      <c r="A12" s="161" t="s">
        <v>314</v>
      </c>
      <c r="B12" s="162">
        <v>108</v>
      </c>
      <c r="C12" s="163">
        <v>1.24916666666667</v>
      </c>
      <c r="D12" s="163">
        <v>1.27494035832328</v>
      </c>
      <c r="E12" s="164">
        <v>0.698518333333333</v>
      </c>
      <c r="F12" s="164">
        <v>0.099838587162932</v>
      </c>
      <c r="G12" s="164">
        <v>0.090775672292485</v>
      </c>
      <c r="H12" s="164">
        <v>0.221597300337458</v>
      </c>
      <c r="I12" s="164">
        <v>0.147821154182121</v>
      </c>
      <c r="J12" s="164">
        <v>0.0358591666666667</v>
      </c>
      <c r="K12" s="164">
        <v>0.269128791560112</v>
      </c>
      <c r="L12" s="164">
        <v>0.169001055879317</v>
      </c>
      <c r="M12" s="164">
        <v>0.0832789594676731</v>
      </c>
      <c r="N12" s="164">
        <v>1.28271456123433</v>
      </c>
      <c r="O12" s="164">
        <v>0.0460058739728125</v>
      </c>
      <c r="P12" s="164">
        <v>0.00489847715736041</v>
      </c>
      <c r="Q12" s="164">
        <v>0.0679035218868658</v>
      </c>
      <c r="R12" s="163">
        <v>0.874675920887021</v>
      </c>
      <c r="S12" s="163">
        <v>5.71454438422993</v>
      </c>
    </row>
    <row r="13" spans="1:19" ht="12.75">
      <c r="A13" s="161" t="s">
        <v>97</v>
      </c>
      <c r="B13" s="162">
        <v>52</v>
      </c>
      <c r="C13" s="163">
        <v>1.39068965517241</v>
      </c>
      <c r="D13" s="163">
        <v>0.802634747543158</v>
      </c>
      <c r="E13" s="164">
        <v>0.619634482758621</v>
      </c>
      <c r="F13" s="164">
        <v>1.03105992547974</v>
      </c>
      <c r="G13" s="164">
        <v>0.507646235615723</v>
      </c>
      <c r="H13" s="164">
        <v>0.130325734703487</v>
      </c>
      <c r="I13" s="164">
        <v>0.113547168035116</v>
      </c>
      <c r="J13" s="164">
        <v>0.184365769230769</v>
      </c>
      <c r="K13" s="164">
        <v>0.140430273256639</v>
      </c>
      <c r="L13" s="164">
        <v>0.10514899019032</v>
      </c>
      <c r="M13" s="164">
        <v>0.0223322605894925</v>
      </c>
      <c r="N13" s="164">
        <v>1.30857015924142</v>
      </c>
      <c r="O13" s="164">
        <v>0.0663664199486073</v>
      </c>
      <c r="P13" s="164">
        <v>0.143031252988746</v>
      </c>
      <c r="Q13" s="164">
        <v>0.0920751078765658</v>
      </c>
      <c r="R13" s="163">
        <v>1.07986931524112</v>
      </c>
      <c r="S13" s="163">
        <v>0.845239010019367</v>
      </c>
    </row>
    <row r="14" spans="1:19" ht="12.75">
      <c r="A14" s="161" t="s">
        <v>98</v>
      </c>
      <c r="B14" s="162">
        <v>25</v>
      </c>
      <c r="C14" s="163">
        <v>1.55666666666667</v>
      </c>
      <c r="D14" s="163">
        <v>0.951149564177607</v>
      </c>
      <c r="E14" s="164">
        <v>0.449105555555555</v>
      </c>
      <c r="F14" s="164">
        <v>0.887728233184438</v>
      </c>
      <c r="G14" s="164">
        <v>0.470262730396798</v>
      </c>
      <c r="H14" s="164">
        <v>0.0699569597816866</v>
      </c>
      <c r="I14" s="164">
        <v>0.109090925327259</v>
      </c>
      <c r="J14" s="164">
        <v>0.229707466666667</v>
      </c>
      <c r="K14" s="164">
        <v>0.344060689307068</v>
      </c>
      <c r="L14" s="164">
        <v>0.194912837318597</v>
      </c>
      <c r="M14" s="164">
        <v>0.0328057551979268</v>
      </c>
      <c r="N14" s="164">
        <v>1.02789090530421</v>
      </c>
      <c r="O14" s="164">
        <v>-0.105657649287386</v>
      </c>
      <c r="P14" s="164">
        <v>0.117818317452782</v>
      </c>
      <c r="Q14" s="164">
        <v>0.0361448290994311</v>
      </c>
      <c r="R14" s="163">
        <v>0.55969081784461</v>
      </c>
      <c r="S14" s="163">
        <v>2.19626655689725</v>
      </c>
    </row>
    <row r="15" spans="1:19" ht="12.75">
      <c r="A15" s="161" t="s">
        <v>99</v>
      </c>
      <c r="B15" s="162">
        <v>12</v>
      </c>
      <c r="C15" s="163">
        <v>1.219</v>
      </c>
      <c r="D15" s="163">
        <v>0.987256476403178</v>
      </c>
      <c r="E15" s="164">
        <v>0.33844</v>
      </c>
      <c r="F15" s="164">
        <v>0.356954336996114</v>
      </c>
      <c r="G15" s="164">
        <v>0.263055526088153</v>
      </c>
      <c r="H15" s="164">
        <v>0.2082683120325</v>
      </c>
      <c r="I15" s="164">
        <v>0.253451731135915</v>
      </c>
      <c r="J15" s="164">
        <v>0.278181666666667</v>
      </c>
      <c r="K15" s="164">
        <v>0.406588900780285</v>
      </c>
      <c r="L15" s="164">
        <v>0.288397274087282</v>
      </c>
      <c r="M15" s="164">
        <v>0.09481392100313</v>
      </c>
      <c r="N15" s="164">
        <v>2.11399894656757</v>
      </c>
      <c r="O15" s="164">
        <v>-0.0537307066371282</v>
      </c>
      <c r="P15" s="164">
        <v>0.114466530973173</v>
      </c>
      <c r="Q15" s="164">
        <v>0.280986824048742</v>
      </c>
      <c r="R15" s="163">
        <v>0.878828456121984</v>
      </c>
      <c r="S15" s="163">
        <v>1.61463154072141</v>
      </c>
    </row>
    <row r="16" spans="1:19" ht="12.75">
      <c r="A16" s="161" t="s">
        <v>504</v>
      </c>
      <c r="B16" s="162">
        <v>19</v>
      </c>
      <c r="C16" s="163">
        <v>1.26176470588235</v>
      </c>
      <c r="D16" s="163">
        <v>1.10481925914668</v>
      </c>
      <c r="E16" s="164">
        <v>0.370866666666667</v>
      </c>
      <c r="F16" s="164">
        <v>0.291112622273369</v>
      </c>
      <c r="G16" s="164">
        <v>0.22547422839131</v>
      </c>
      <c r="H16" s="164">
        <v>0.253347850011606</v>
      </c>
      <c r="I16" s="164">
        <v>0.219583842914945</v>
      </c>
      <c r="J16" s="164">
        <v>0.192945263157895</v>
      </c>
      <c r="K16" s="164">
        <v>0.150520953147765</v>
      </c>
      <c r="L16" s="164">
        <v>0.119653471819646</v>
      </c>
      <c r="M16" s="164">
        <v>0.0640151102393665</v>
      </c>
      <c r="N16" s="164">
        <v>1.09342859612227</v>
      </c>
      <c r="O16" s="164">
        <v>0.111608328389412</v>
      </c>
      <c r="P16" s="164">
        <v>0.163690043765203</v>
      </c>
      <c r="Q16" s="164">
        <v>-0.0647144593165719</v>
      </c>
      <c r="R16" s="163">
        <v>1.83516482702587</v>
      </c>
      <c r="S16" s="163">
        <v>0.875150840063121</v>
      </c>
    </row>
    <row r="17" spans="1:19" ht="12.75">
      <c r="A17" s="161" t="s">
        <v>209</v>
      </c>
      <c r="B17" s="162">
        <v>33</v>
      </c>
      <c r="C17" s="163">
        <v>1.21304347826087</v>
      </c>
      <c r="D17" s="163">
        <v>1.09801730296857</v>
      </c>
      <c r="E17" s="164">
        <v>0.394704347826087</v>
      </c>
      <c r="F17" s="164">
        <v>0.267016149629372</v>
      </c>
      <c r="G17" s="164">
        <v>0.210744077498523</v>
      </c>
      <c r="H17" s="164">
        <v>0.264515584148527</v>
      </c>
      <c r="I17" s="164">
        <v>0.236702829711958</v>
      </c>
      <c r="J17" s="164">
        <v>0.254744223443943</v>
      </c>
      <c r="K17" s="164">
        <v>0.19871120473699</v>
      </c>
      <c r="L17" s="164">
        <v>0.141363953117615</v>
      </c>
      <c r="M17" s="164">
        <v>0.0555438683305799</v>
      </c>
      <c r="N17" s="164">
        <v>1.18689193430275</v>
      </c>
      <c r="O17" s="164">
        <v>0.138751192337096</v>
      </c>
      <c r="P17" s="164">
        <v>0.197450683695426</v>
      </c>
      <c r="Q17" s="164">
        <v>-0.0991990765688954</v>
      </c>
      <c r="R17" s="163">
        <v>1.67442141006782</v>
      </c>
      <c r="S17" s="163">
        <v>1.15352567440892</v>
      </c>
    </row>
    <row r="18" spans="1:19" ht="12.75">
      <c r="A18" s="161" t="s">
        <v>145</v>
      </c>
      <c r="B18" s="162">
        <v>88</v>
      </c>
      <c r="C18" s="163">
        <v>1.18460317460318</v>
      </c>
      <c r="D18" s="163">
        <v>0.975238041078214</v>
      </c>
      <c r="E18" s="164">
        <v>0.576057142857143</v>
      </c>
      <c r="F18" s="164">
        <v>0.357412657576216</v>
      </c>
      <c r="G18" s="164">
        <v>0.263304350067288</v>
      </c>
      <c r="H18" s="164">
        <v>0.188786239481537</v>
      </c>
      <c r="I18" s="164">
        <v>0.179345727748428</v>
      </c>
      <c r="J18" s="164">
        <v>0.189885795454545</v>
      </c>
      <c r="K18" s="164">
        <v>0.140755039898859</v>
      </c>
      <c r="L18" s="164">
        <v>0.0975257555665718</v>
      </c>
      <c r="M18" s="164">
        <v>0.0268576243967276</v>
      </c>
      <c r="N18" s="164">
        <v>1.09813846299551</v>
      </c>
      <c r="O18" s="164">
        <v>0.116443662422589</v>
      </c>
      <c r="P18" s="164">
        <v>0.177340722213787</v>
      </c>
      <c r="Q18" s="164">
        <v>-0.0232156102513524</v>
      </c>
      <c r="R18" s="163">
        <v>1.83895758311767</v>
      </c>
      <c r="S18" s="163">
        <v>0.903439772962536</v>
      </c>
    </row>
    <row r="19" spans="1:19" ht="12.75">
      <c r="A19" s="161" t="s">
        <v>315</v>
      </c>
      <c r="B19" s="162">
        <v>18</v>
      </c>
      <c r="C19" s="163">
        <v>1.98428571428571</v>
      </c>
      <c r="D19" s="163">
        <v>1.43275022973871</v>
      </c>
      <c r="E19" s="164">
        <v>0.494057142857143</v>
      </c>
      <c r="F19" s="164">
        <v>0.480215847096589</v>
      </c>
      <c r="G19" s="164">
        <v>0.324422852274228</v>
      </c>
      <c r="H19" s="164">
        <v>0.139647617162211</v>
      </c>
      <c r="I19" s="164">
        <v>0.20130106327222</v>
      </c>
      <c r="J19" s="164">
        <v>0.105196733953357</v>
      </c>
      <c r="K19" s="164">
        <v>0.180536406400624</v>
      </c>
      <c r="L19" s="164">
        <v>0.157618821596724</v>
      </c>
      <c r="M19" s="164">
        <v>0.0453309945000068</v>
      </c>
      <c r="N19" s="164">
        <v>1.39174022262681</v>
      </c>
      <c r="O19" s="164">
        <v>0.0469344347486752</v>
      </c>
      <c r="P19" s="164">
        <v>0.207053639846743</v>
      </c>
      <c r="Q19" s="164">
        <v>0.0534699559222184</v>
      </c>
      <c r="R19" s="163">
        <v>1.27713848659051</v>
      </c>
      <c r="S19" s="163">
        <v>1.2607560896922</v>
      </c>
    </row>
    <row r="20" spans="1:19" ht="12.75">
      <c r="A20" s="161" t="s">
        <v>522</v>
      </c>
      <c r="B20" s="162">
        <v>322</v>
      </c>
      <c r="C20" s="163">
        <v>1.22326315789474</v>
      </c>
      <c r="D20" s="163">
        <v>1.33004580517587</v>
      </c>
      <c r="E20" s="164">
        <v>0.713795287958115</v>
      </c>
      <c r="F20" s="164">
        <v>0.0776802344869748</v>
      </c>
      <c r="G20" s="164">
        <v>0.0720809679913579</v>
      </c>
      <c r="H20" s="164">
        <v>0.474928607106999</v>
      </c>
      <c r="I20" s="164">
        <v>0.366414400385907</v>
      </c>
      <c r="J20" s="164">
        <v>0.126493416149068</v>
      </c>
      <c r="K20" s="164">
        <v>0.245142385509994</v>
      </c>
      <c r="L20" s="164">
        <v>0.172437865211966</v>
      </c>
      <c r="M20" s="164">
        <v>0.0823768076752343</v>
      </c>
      <c r="N20" s="164">
        <v>0.89634912091855</v>
      </c>
      <c r="O20" s="164">
        <v>-0.0637135182533778</v>
      </c>
      <c r="P20" s="164">
        <v>0.101670103832052</v>
      </c>
      <c r="Q20" s="164">
        <v>-0.0095742755319498</v>
      </c>
      <c r="R20" s="163">
        <v>2.12490684650671</v>
      </c>
      <c r="S20" s="163">
        <v>1.93400530579644</v>
      </c>
    </row>
    <row r="21" spans="1:19" ht="12.75">
      <c r="A21" s="161" t="s">
        <v>523</v>
      </c>
      <c r="B21" s="162">
        <v>125</v>
      </c>
      <c r="C21" s="163">
        <v>1.29494736842105</v>
      </c>
      <c r="D21" s="163">
        <v>1.38723803922825</v>
      </c>
      <c r="E21" s="164">
        <v>0.829629473684211</v>
      </c>
      <c r="F21" s="164">
        <v>0.183572831414134</v>
      </c>
      <c r="G21" s="164">
        <v>0.155100578977299</v>
      </c>
      <c r="H21" s="164">
        <v>0.491352873445284</v>
      </c>
      <c r="I21" s="164">
        <v>0.329626625178272</v>
      </c>
      <c r="J21" s="164">
        <v>0.09895568</v>
      </c>
      <c r="K21" s="164">
        <v>0.116052544155911</v>
      </c>
      <c r="L21" s="164">
        <v>0.0877998558017346</v>
      </c>
      <c r="M21" s="164">
        <v>0.0355318867269108</v>
      </c>
      <c r="N21" s="164">
        <v>0.952685788880999</v>
      </c>
      <c r="O21" s="164">
        <v>-0.00686398891497224</v>
      </c>
      <c r="P21" s="164">
        <v>0.0632564799469672</v>
      </c>
      <c r="Q21" s="164">
        <v>-0.0184142424699465</v>
      </c>
      <c r="R21" s="163">
        <v>3.75429574648299</v>
      </c>
      <c r="S21" s="163">
        <v>0.699143111733622</v>
      </c>
    </row>
    <row r="22" spans="1:19" ht="12.75">
      <c r="A22" s="161" t="s">
        <v>388</v>
      </c>
      <c r="B22" s="162">
        <v>113</v>
      </c>
      <c r="C22" s="163">
        <v>1.24848837209302</v>
      </c>
      <c r="D22" s="163">
        <v>0.604735161566635</v>
      </c>
      <c r="E22" s="164">
        <v>0.485058139534884</v>
      </c>
      <c r="F22" s="164">
        <v>1.60980623738154</v>
      </c>
      <c r="G22" s="164">
        <v>0.616829791546779</v>
      </c>
      <c r="H22" s="164">
        <v>0.291248462915117</v>
      </c>
      <c r="I22" s="164">
        <v>0.107940807170597</v>
      </c>
      <c r="J22" s="164">
        <v>0.202277610619469</v>
      </c>
      <c r="K22" s="164">
        <v>0.22385774725203</v>
      </c>
      <c r="L22" s="164">
        <v>0.179315634147057</v>
      </c>
      <c r="M22" s="164">
        <v>0.0485280935111061</v>
      </c>
      <c r="N22" s="164">
        <v>1.46860989085639</v>
      </c>
      <c r="O22" s="164">
        <v>0.912386742263887</v>
      </c>
      <c r="P22" s="164">
        <v>0.201165675421668</v>
      </c>
      <c r="Q22" s="164">
        <v>-0.127462406024278</v>
      </c>
      <c r="R22" s="163">
        <v>0.601959821763644</v>
      </c>
      <c r="S22" s="163">
        <v>1.9551203578682</v>
      </c>
    </row>
    <row r="23" spans="1:19" ht="12.75">
      <c r="A23" s="161" t="s">
        <v>389</v>
      </c>
      <c r="B23" s="162">
        <v>342</v>
      </c>
      <c r="C23" s="163">
        <v>1.16192893401015</v>
      </c>
      <c r="D23" s="163">
        <v>1.14493112887987</v>
      </c>
      <c r="E23" s="164">
        <v>0.969942713567839</v>
      </c>
      <c r="F23" s="164">
        <v>0.145056662166712</v>
      </c>
      <c r="G23" s="164">
        <v>0.126680772191859</v>
      </c>
      <c r="H23" s="164">
        <v>0.262306854060763</v>
      </c>
      <c r="I23" s="164">
        <v>0.2257433990127</v>
      </c>
      <c r="J23" s="164">
        <v>0.0595765497076023</v>
      </c>
      <c r="K23" s="164">
        <v>0.301472431996174</v>
      </c>
      <c r="L23" s="164">
        <v>0.226472252791761</v>
      </c>
      <c r="M23" s="164">
        <v>0.0837516583289573</v>
      </c>
      <c r="N23" s="164">
        <v>0.617228526089617</v>
      </c>
      <c r="O23" s="164">
        <v>0.10482477484236</v>
      </c>
      <c r="P23" s="164">
        <v>0.259854534190808</v>
      </c>
      <c r="Q23" s="164">
        <v>-0.0583284423321219</v>
      </c>
      <c r="R23" s="163">
        <v>0.99678170826635</v>
      </c>
      <c r="S23" s="163">
        <v>2.63103241835691</v>
      </c>
    </row>
    <row r="24" spans="1:19" ht="12.75">
      <c r="A24" s="161" t="s">
        <v>263</v>
      </c>
      <c r="B24" s="162">
        <v>54</v>
      </c>
      <c r="C24" s="163">
        <v>1.4972</v>
      </c>
      <c r="D24" s="163">
        <v>1.76321385491568</v>
      </c>
      <c r="E24" s="164">
        <v>0.571812</v>
      </c>
      <c r="F24" s="164">
        <v>0.11431845406747</v>
      </c>
      <c r="G24" s="164">
        <v>0.102590470121163</v>
      </c>
      <c r="H24" s="164">
        <v>0.100991748050572</v>
      </c>
      <c r="I24" s="164">
        <v>0.125443726634855</v>
      </c>
      <c r="J24" s="164">
        <v>0.130852777777778</v>
      </c>
      <c r="K24" s="164">
        <v>0.126850870579858</v>
      </c>
      <c r="L24" s="164">
        <v>0.0875976284598147</v>
      </c>
      <c r="M24" s="164">
        <v>0.0337550456478747</v>
      </c>
      <c r="N24" s="164">
        <v>1.46248337375792</v>
      </c>
      <c r="O24" s="164">
        <v>-0.140682144501937</v>
      </c>
      <c r="P24" s="164">
        <v>0.0120414792603698</v>
      </c>
      <c r="Q24" s="164">
        <v>0.0842473886414898</v>
      </c>
      <c r="R24" s="163">
        <v>1.43204478066894</v>
      </c>
      <c r="S24" s="163">
        <v>1.85747955617649</v>
      </c>
    </row>
    <row r="25" spans="1:19" ht="12.75">
      <c r="A25" s="161" t="s">
        <v>260</v>
      </c>
      <c r="B25" s="162">
        <v>34</v>
      </c>
      <c r="C25" s="163">
        <v>0.836538461538461</v>
      </c>
      <c r="D25" s="163">
        <v>0.889976705625649</v>
      </c>
      <c r="E25" s="164">
        <v>0.528109090909091</v>
      </c>
      <c r="F25" s="164">
        <v>0.02223514993562</v>
      </c>
      <c r="G25" s="164">
        <v>0.0217515020267307</v>
      </c>
      <c r="H25" s="164">
        <v>0.488864455153699</v>
      </c>
      <c r="I25" s="164">
        <v>0.468439273052853</v>
      </c>
      <c r="J25" s="164">
        <v>0.208041470588235</v>
      </c>
      <c r="K25" s="164">
        <v>0.173635512389828</v>
      </c>
      <c r="L25" s="164">
        <v>0.116936378639286</v>
      </c>
      <c r="M25" s="164">
        <v>0.0563186317006213</v>
      </c>
      <c r="N25" s="164">
        <v>1.06442609605768</v>
      </c>
      <c r="O25" s="164">
        <v>-0.11476394307181</v>
      </c>
      <c r="P25" s="164">
        <v>0.023134421208786</v>
      </c>
      <c r="Q25" s="164">
        <v>0.0563030068121534</v>
      </c>
      <c r="R25" s="163">
        <v>4.00593278587708</v>
      </c>
      <c r="S25" s="163">
        <v>2.74824357029331</v>
      </c>
    </row>
    <row r="26" spans="1:19" ht="12.75">
      <c r="A26" s="161" t="s">
        <v>356</v>
      </c>
      <c r="B26" s="162">
        <v>24</v>
      </c>
      <c r="C26" s="163">
        <v>0.822727272727273</v>
      </c>
      <c r="D26" s="163">
        <v>0.489256218538119</v>
      </c>
      <c r="E26" s="164">
        <v>0.210872727272727</v>
      </c>
      <c r="F26" s="164">
        <v>1.07825642903886</v>
      </c>
      <c r="G26" s="164">
        <v>0.518827423783083</v>
      </c>
      <c r="H26" s="164">
        <v>0.114630958923253</v>
      </c>
      <c r="I26" s="164">
        <v>0.102813692778361</v>
      </c>
      <c r="J26" s="164">
        <v>0.330229166666667</v>
      </c>
      <c r="K26" s="164">
        <v>0.218591559076124</v>
      </c>
      <c r="L26" s="164">
        <v>0.146665923334508</v>
      </c>
      <c r="M26" s="164">
        <v>0.0361421053501426</v>
      </c>
      <c r="N26" s="164">
        <v>2.1896697059978</v>
      </c>
      <c r="O26" s="164">
        <v>0.0539412605486891</v>
      </c>
      <c r="P26" s="164">
        <v>0.31648728572723</v>
      </c>
      <c r="Q26" s="164">
        <v>0.317890242906775</v>
      </c>
      <c r="R26" s="163">
        <v>0.701006003581818</v>
      </c>
      <c r="S26" s="163">
        <v>1.64824303582596</v>
      </c>
    </row>
    <row r="27" spans="1:19" ht="12.75">
      <c r="A27" s="161" t="s">
        <v>40</v>
      </c>
      <c r="B27" s="162">
        <v>26</v>
      </c>
      <c r="C27" s="163">
        <v>0.742</v>
      </c>
      <c r="D27" s="163">
        <v>0.502219228061843</v>
      </c>
      <c r="E27" s="164">
        <v>0.222444</v>
      </c>
      <c r="F27" s="164">
        <v>0.733029799776324</v>
      </c>
      <c r="G27" s="164">
        <v>0.422975877201265</v>
      </c>
      <c r="H27" s="164">
        <v>0.133838798176088</v>
      </c>
      <c r="I27" s="164">
        <v>0.116374272413485</v>
      </c>
      <c r="J27" s="164">
        <v>0.320915</v>
      </c>
      <c r="K27" s="164">
        <v>0.258473303717411</v>
      </c>
      <c r="L27" s="164">
        <v>0.172397092491822</v>
      </c>
      <c r="M27" s="164">
        <v>0.0448719558536827</v>
      </c>
      <c r="N27" s="164">
        <v>2.06282593873427</v>
      </c>
      <c r="O27" s="164">
        <v>0.0563925585698708</v>
      </c>
      <c r="P27" s="164">
        <v>0.295177612941152</v>
      </c>
      <c r="Q27" s="164">
        <v>0.258196134414405</v>
      </c>
      <c r="R27" s="163">
        <v>0.675036166395935</v>
      </c>
      <c r="S27" s="163">
        <v>1.93306122988468</v>
      </c>
    </row>
    <row r="28" spans="1:19" ht="12.75">
      <c r="A28" s="161" t="s">
        <v>549</v>
      </c>
      <c r="B28" s="162">
        <v>16</v>
      </c>
      <c r="C28" s="163">
        <v>0.786666666666667</v>
      </c>
      <c r="D28" s="163">
        <v>0.496392790036032</v>
      </c>
      <c r="E28" s="164">
        <v>0.186366666666667</v>
      </c>
      <c r="F28" s="164">
        <v>0.907045146713461</v>
      </c>
      <c r="G28" s="164">
        <v>0.475628565100639</v>
      </c>
      <c r="H28" s="164">
        <v>0.108920335265139</v>
      </c>
      <c r="I28" s="164">
        <v>0.115242995804499</v>
      </c>
      <c r="J28" s="164">
        <v>0.304709375</v>
      </c>
      <c r="K28" s="164">
        <v>0.243827231433571</v>
      </c>
      <c r="L28" s="164">
        <v>0.165076442369297</v>
      </c>
      <c r="M28" s="164">
        <v>0.0371529703126751</v>
      </c>
      <c r="N28" s="164">
        <v>2.18343835576102</v>
      </c>
      <c r="O28" s="164">
        <v>0.0149557117861524</v>
      </c>
      <c r="P28" s="164">
        <v>0.247739219041393</v>
      </c>
      <c r="Q28" s="164">
        <v>0.349489230013883</v>
      </c>
      <c r="R28" s="163">
        <v>0.698118969311716</v>
      </c>
      <c r="S28" s="163">
        <v>1.56958909501495</v>
      </c>
    </row>
    <row r="29" spans="1:19" ht="12.75">
      <c r="A29" s="161" t="s">
        <v>353</v>
      </c>
      <c r="B29" s="162">
        <v>83</v>
      </c>
      <c r="C29" s="163">
        <v>1.3725</v>
      </c>
      <c r="D29" s="163">
        <v>1.25922429556321</v>
      </c>
      <c r="E29" s="164">
        <v>0.573075</v>
      </c>
      <c r="F29" s="164">
        <v>0.235302962409164</v>
      </c>
      <c r="G29" s="164">
        <v>0.19048198666201</v>
      </c>
      <c r="H29" s="164">
        <v>0.248207088645172</v>
      </c>
      <c r="I29" s="164">
        <v>0.204997674814261</v>
      </c>
      <c r="J29" s="164">
        <v>0.142309079956188</v>
      </c>
      <c r="K29" s="164">
        <v>0.157500515037786</v>
      </c>
      <c r="L29" s="164">
        <v>0.114795047087748</v>
      </c>
      <c r="M29" s="164">
        <v>0.049610772971089</v>
      </c>
      <c r="N29" s="164">
        <v>1.26545875362719</v>
      </c>
      <c r="O29" s="164">
        <v>0.121364345401532</v>
      </c>
      <c r="P29" s="164">
        <v>0.137878700969025</v>
      </c>
      <c r="Q29" s="164">
        <v>-0.0287483312963993</v>
      </c>
      <c r="R29" s="163">
        <v>1.78577107649569</v>
      </c>
      <c r="S29" s="163">
        <v>0.997575698972262</v>
      </c>
    </row>
    <row r="30" spans="1:19" ht="12.75">
      <c r="A30" s="161" t="s">
        <v>323</v>
      </c>
      <c r="B30" s="162">
        <v>173</v>
      </c>
      <c r="C30" s="163">
        <v>1.31189655172414</v>
      </c>
      <c r="D30" s="163">
        <v>1.23310674453008</v>
      </c>
      <c r="E30" s="164">
        <v>0.792623275862069</v>
      </c>
      <c r="F30" s="164">
        <v>0.456228909076009</v>
      </c>
      <c r="G30" s="164">
        <v>0.313294775452226</v>
      </c>
      <c r="H30" s="164">
        <v>0.106269244832035</v>
      </c>
      <c r="I30" s="164">
        <v>0.130068902401703</v>
      </c>
      <c r="J30" s="164">
        <v>0.118731169512031</v>
      </c>
      <c r="K30" s="164">
        <v>0.075713612722098</v>
      </c>
      <c r="L30" s="164">
        <v>0.0561365721308737</v>
      </c>
      <c r="M30" s="164">
        <v>0.0139559658662471</v>
      </c>
      <c r="N30" s="164">
        <v>1.22528648476769</v>
      </c>
      <c r="O30" s="164">
        <v>0.126475978365388</v>
      </c>
      <c r="P30" s="164">
        <v>0.0735156013042159</v>
      </c>
      <c r="Q30" s="164">
        <v>0.00487220554743338</v>
      </c>
      <c r="R30" s="163">
        <v>2.3170082793525</v>
      </c>
      <c r="S30" s="163">
        <v>0.321285215664463</v>
      </c>
    </row>
    <row r="31" spans="1:19" ht="12.75">
      <c r="A31" s="161" t="s">
        <v>408</v>
      </c>
      <c r="B31" s="162">
        <v>84</v>
      </c>
      <c r="C31" s="163">
        <v>1.66217391304348</v>
      </c>
      <c r="D31" s="163">
        <v>1.08923303508893</v>
      </c>
      <c r="E31" s="164">
        <v>0.502369565217391</v>
      </c>
      <c r="F31" s="164">
        <v>0.792287197419159</v>
      </c>
      <c r="G31" s="164">
        <v>0.442053705767708</v>
      </c>
      <c r="H31" s="164">
        <v>0.080843173403336</v>
      </c>
      <c r="I31" s="164">
        <v>0.0998016740927574</v>
      </c>
      <c r="J31" s="164">
        <v>0.171670694444444</v>
      </c>
      <c r="K31" s="164">
        <v>0.237464339183451</v>
      </c>
      <c r="L31" s="164">
        <v>0.149962837290436</v>
      </c>
      <c r="M31" s="164">
        <v>0.0366313864723732</v>
      </c>
      <c r="N31" s="164">
        <v>0.910634868089639</v>
      </c>
      <c r="O31" s="164">
        <v>-0.00163808914839558</v>
      </c>
      <c r="P31" s="164">
        <v>0.119129404267885</v>
      </c>
      <c r="Q31" s="164">
        <v>-0.0154651716215058</v>
      </c>
      <c r="R31" s="163">
        <v>0.665509374829108</v>
      </c>
      <c r="S31" s="163">
        <v>1.27460022323557</v>
      </c>
    </row>
    <row r="32" spans="1:19" ht="12.75">
      <c r="A32" s="161" t="s">
        <v>264</v>
      </c>
      <c r="B32" s="162">
        <v>33</v>
      </c>
      <c r="C32" s="163">
        <v>1.44565217391304</v>
      </c>
      <c r="D32" s="163">
        <v>2.32702062907087</v>
      </c>
      <c r="E32" s="164">
        <v>0.707913043478261</v>
      </c>
      <c r="F32" s="164">
        <v>0.115421228705867</v>
      </c>
      <c r="G32" s="164">
        <v>0.103477704866511</v>
      </c>
      <c r="H32" s="164">
        <v>-0.0508651169146156</v>
      </c>
      <c r="I32" s="164">
        <v>0.0451330474545059</v>
      </c>
      <c r="J32" s="164">
        <v>0.136676363636364</v>
      </c>
      <c r="K32" s="164">
        <v>0.0392783046245641</v>
      </c>
      <c r="L32" s="164">
        <v>0.0177317179739386</v>
      </c>
      <c r="M32" s="164">
        <v>-0.0145345765219441</v>
      </c>
      <c r="N32" s="164">
        <v>0.668381742738589</v>
      </c>
      <c r="O32" s="164">
        <v>-0.060296544380045</v>
      </c>
      <c r="P32" s="164" t="s">
        <v>433</v>
      </c>
      <c r="Q32" s="164">
        <v>0.51099442381944</v>
      </c>
      <c r="R32" s="163">
        <v>2.54532851925803</v>
      </c>
      <c r="S32" s="163">
        <v>0.847525138801954</v>
      </c>
    </row>
    <row r="33" spans="1:19" ht="12.75">
      <c r="A33" s="161" t="s">
        <v>367</v>
      </c>
      <c r="B33" s="162">
        <v>79</v>
      </c>
      <c r="C33" s="163">
        <v>1.10911111111111</v>
      </c>
      <c r="D33" s="163">
        <v>0.798206943487282</v>
      </c>
      <c r="E33" s="164">
        <v>0.871946666666667</v>
      </c>
      <c r="F33" s="164">
        <v>0.498590014832872</v>
      </c>
      <c r="G33" s="164">
        <v>0.332706083650555</v>
      </c>
      <c r="H33" s="164">
        <v>0.143365546469799</v>
      </c>
      <c r="I33" s="164">
        <v>0.136664131694099</v>
      </c>
      <c r="J33" s="164">
        <v>0.15449329113924</v>
      </c>
      <c r="K33" s="164">
        <v>0.218479617888427</v>
      </c>
      <c r="L33" s="164">
        <v>0.134168090103816</v>
      </c>
      <c r="M33" s="164">
        <v>0.0348382871656184</v>
      </c>
      <c r="N33" s="164">
        <v>0.994246544555568</v>
      </c>
      <c r="O33" s="164">
        <v>0.0348331973213846</v>
      </c>
      <c r="P33" s="164">
        <v>0.221130613582859</v>
      </c>
      <c r="Q33" s="164">
        <v>-0.0443373010802707</v>
      </c>
      <c r="R33" s="163">
        <v>1.0186038393209</v>
      </c>
      <c r="S33" s="163">
        <v>1.72907777112328</v>
      </c>
    </row>
    <row r="34" spans="1:19" ht="12.75">
      <c r="A34" s="161" t="s">
        <v>265</v>
      </c>
      <c r="B34" s="162">
        <v>296</v>
      </c>
      <c r="C34" s="163">
        <v>1.26875</v>
      </c>
      <c r="D34" s="163">
        <v>0.44804787434227</v>
      </c>
      <c r="E34" s="164">
        <v>0.62775724137931</v>
      </c>
      <c r="F34" s="164">
        <v>2.61384139312017</v>
      </c>
      <c r="G34" s="164">
        <v>0.723286140364725</v>
      </c>
      <c r="H34" s="164">
        <v>0.149071065608651</v>
      </c>
      <c r="I34" s="164">
        <v>0.12328240312326</v>
      </c>
      <c r="J34" s="164">
        <v>0.179272567567567</v>
      </c>
      <c r="K34" s="164">
        <v>0.856814371773134</v>
      </c>
      <c r="L34" s="164">
        <v>0.765908222026831</v>
      </c>
      <c r="M34" s="164">
        <v>-0.226047602299163</v>
      </c>
      <c r="N34" s="164">
        <v>2.58581372044525</v>
      </c>
      <c r="O34" s="164">
        <v>0.287450276882024</v>
      </c>
      <c r="P34" s="164">
        <v>0.22828359562335</v>
      </c>
      <c r="Q34" s="164">
        <v>-6.12731307844984</v>
      </c>
      <c r="R34" s="163">
        <v>0.160962370657175</v>
      </c>
      <c r="S34" s="163">
        <v>6.95796353606157</v>
      </c>
    </row>
    <row r="35" spans="1:19" ht="12.75">
      <c r="A35" s="161" t="s">
        <v>547</v>
      </c>
      <c r="B35" s="162">
        <v>109</v>
      </c>
      <c r="C35" s="163">
        <v>0.797662337662338</v>
      </c>
      <c r="D35" s="163">
        <v>0.64687539661911</v>
      </c>
      <c r="E35" s="164">
        <v>0.401096103896104</v>
      </c>
      <c r="F35" s="164">
        <v>0.351471806647012</v>
      </c>
      <c r="G35" s="164">
        <v>0.260065955440839</v>
      </c>
      <c r="H35" s="164">
        <v>0.209788168862171</v>
      </c>
      <c r="I35" s="164">
        <v>0.156368247077598</v>
      </c>
      <c r="J35" s="164">
        <v>0.216729541284404</v>
      </c>
      <c r="K35" s="164">
        <v>0.119821406275476</v>
      </c>
      <c r="L35" s="164">
        <v>0.0858828389693814</v>
      </c>
      <c r="M35" s="164">
        <v>0.0298326736848634</v>
      </c>
      <c r="N35" s="164">
        <v>1.23877614141943</v>
      </c>
      <c r="O35" s="164">
        <v>0.0614544493095462</v>
      </c>
      <c r="P35" s="164">
        <v>0.146469564198334</v>
      </c>
      <c r="Q35" s="164">
        <v>-0.0713777770965729</v>
      </c>
      <c r="R35" s="163">
        <v>1.82071586074775</v>
      </c>
      <c r="S35" s="163">
        <v>1.00788656630751</v>
      </c>
    </row>
    <row r="36" spans="1:19" ht="12.75">
      <c r="A36" s="161" t="s">
        <v>247</v>
      </c>
      <c r="B36" s="162">
        <v>18</v>
      </c>
      <c r="C36" s="163">
        <v>0.726666666666667</v>
      </c>
      <c r="D36" s="163">
        <v>0.537889604562002</v>
      </c>
      <c r="E36" s="164">
        <v>0.467470588235294</v>
      </c>
      <c r="F36" s="164">
        <v>0.594953453569173</v>
      </c>
      <c r="G36" s="164">
        <v>0.373022455443945</v>
      </c>
      <c r="H36" s="164">
        <v>0.153617720015372</v>
      </c>
      <c r="I36" s="164">
        <v>0.146165449926623</v>
      </c>
      <c r="J36" s="164">
        <v>0.273926111111111</v>
      </c>
      <c r="K36" s="164">
        <v>0.056550258394818</v>
      </c>
      <c r="L36" s="164">
        <v>0.0374533915494129</v>
      </c>
      <c r="M36" s="164">
        <v>0.00937642453843223</v>
      </c>
      <c r="N36" s="164">
        <v>1.22118603904542</v>
      </c>
      <c r="O36" s="164">
        <v>0.00936783400879837</v>
      </c>
      <c r="P36" s="164">
        <v>0.111496929724812</v>
      </c>
      <c r="Q36" s="164">
        <v>0.0436479022499554</v>
      </c>
      <c r="R36" s="163">
        <v>3.90259583658223</v>
      </c>
      <c r="S36" s="163">
        <v>0.362497072984863</v>
      </c>
    </row>
    <row r="37" spans="1:19" ht="12.75">
      <c r="A37" s="161" t="s">
        <v>514</v>
      </c>
      <c r="B37" s="162">
        <v>10</v>
      </c>
      <c r="C37" s="163">
        <v>1.184</v>
      </c>
      <c r="D37" s="163">
        <v>1.39981127206743</v>
      </c>
      <c r="E37" s="164">
        <v>0.25563</v>
      </c>
      <c r="F37" s="164">
        <v>0.422887828003149</v>
      </c>
      <c r="G37" s="164">
        <v>0.297203911426118</v>
      </c>
      <c r="H37" s="164">
        <v>0.122970145094855</v>
      </c>
      <c r="I37" s="164">
        <v>0.168968666839714</v>
      </c>
      <c r="J37" s="164">
        <v>0.370386</v>
      </c>
      <c r="K37" s="164">
        <v>0.135010123190669</v>
      </c>
      <c r="L37" s="164">
        <v>0.0742861270823347</v>
      </c>
      <c r="M37" s="164">
        <v>0.0166667357939076</v>
      </c>
      <c r="N37" s="164">
        <v>0.877050427643901</v>
      </c>
      <c r="O37" s="164">
        <v>0.0853023832900103</v>
      </c>
      <c r="P37" s="164">
        <v>0.0976997318512651</v>
      </c>
      <c r="Q37" s="164">
        <v>-0.0656585222597088</v>
      </c>
      <c r="R37" s="163">
        <v>2.27456556797528</v>
      </c>
      <c r="S37" s="163">
        <v>0.320935184916357</v>
      </c>
    </row>
    <row r="38" spans="1:19" ht="12.75">
      <c r="A38" s="161" t="s">
        <v>200</v>
      </c>
      <c r="B38" s="162">
        <v>34</v>
      </c>
      <c r="C38" s="163">
        <v>1.29321428571429</v>
      </c>
      <c r="D38" s="163">
        <v>0.941558022203637</v>
      </c>
      <c r="E38" s="164">
        <v>0.438471428571429</v>
      </c>
      <c r="F38" s="164">
        <v>0.657540946825219</v>
      </c>
      <c r="G38" s="164">
        <v>0.396696653608856</v>
      </c>
      <c r="H38" s="164">
        <v>0.126385624510343</v>
      </c>
      <c r="I38" s="164">
        <v>0.138495188859905</v>
      </c>
      <c r="J38" s="164">
        <v>0.239944411764706</v>
      </c>
      <c r="K38" s="164">
        <v>0.105130236474929</v>
      </c>
      <c r="L38" s="164">
        <v>0.0704186138611256</v>
      </c>
      <c r="M38" s="164">
        <v>0.0142934962815594</v>
      </c>
      <c r="N38" s="164">
        <v>0.84729717369432</v>
      </c>
      <c r="O38" s="164">
        <v>0.131471744588129</v>
      </c>
      <c r="P38" s="164">
        <v>0.131404972302822</v>
      </c>
      <c r="Q38" s="164">
        <v>-0.000368680610106882</v>
      </c>
      <c r="R38" s="163">
        <v>1.96674119619899</v>
      </c>
      <c r="S38" s="163">
        <v>0.445107605829504</v>
      </c>
    </row>
    <row r="39" spans="1:19" ht="12.75">
      <c r="A39" s="161" t="s">
        <v>417</v>
      </c>
      <c r="B39" s="162">
        <v>14</v>
      </c>
      <c r="C39" s="163">
        <v>0.838181818181818</v>
      </c>
      <c r="D39" s="163">
        <v>0.77588495059392</v>
      </c>
      <c r="E39" s="164">
        <v>0.279318181818182</v>
      </c>
      <c r="F39" s="164">
        <v>0.139112050739958</v>
      </c>
      <c r="G39" s="164">
        <v>0.122123236822569</v>
      </c>
      <c r="H39" s="164">
        <v>0.1757647436533</v>
      </c>
      <c r="I39" s="164">
        <v>0.173810215346586</v>
      </c>
      <c r="J39" s="164">
        <v>0.329644285714286</v>
      </c>
      <c r="K39" s="164">
        <v>0.0586685820320332</v>
      </c>
      <c r="L39" s="164">
        <v>0.0380801785787534</v>
      </c>
      <c r="M39" s="164">
        <v>0.0106462837829116</v>
      </c>
      <c r="N39" s="164">
        <v>1.65000757440128</v>
      </c>
      <c r="O39" s="164">
        <v>-0.00287333489568707</v>
      </c>
      <c r="P39" s="164">
        <v>0.0646980055066819</v>
      </c>
      <c r="Q39" s="164">
        <v>0.184979908801763</v>
      </c>
      <c r="R39" s="163">
        <v>4.56432248570291</v>
      </c>
      <c r="S39" s="163">
        <v>0.789562138412876</v>
      </c>
    </row>
    <row r="40" spans="1:19" ht="12.75">
      <c r="A40" s="161" t="s">
        <v>201</v>
      </c>
      <c r="B40" s="162">
        <v>29</v>
      </c>
      <c r="C40" s="163">
        <v>1.045</v>
      </c>
      <c r="D40" s="163">
        <v>1.03877128716513</v>
      </c>
      <c r="E40" s="164">
        <v>0.50746875</v>
      </c>
      <c r="F40" s="164">
        <v>0.198721222783421</v>
      </c>
      <c r="G40" s="164">
        <v>0.165777679585911</v>
      </c>
      <c r="H40" s="164">
        <v>0.43473630231549</v>
      </c>
      <c r="I40" s="164">
        <v>0.246870124811393</v>
      </c>
      <c r="J40" s="164">
        <v>0.164749310344828</v>
      </c>
      <c r="K40" s="164">
        <v>0.206574164357563</v>
      </c>
      <c r="L40" s="164">
        <v>0.141598219092807</v>
      </c>
      <c r="M40" s="164">
        <v>0.0778591763142911</v>
      </c>
      <c r="N40" s="164">
        <v>0.84607457373056</v>
      </c>
      <c r="O40" s="164">
        <v>0.0458379199089011</v>
      </c>
      <c r="P40" s="164">
        <v>0.0384357136376009</v>
      </c>
      <c r="Q40" s="164">
        <v>-0.0678111445326531</v>
      </c>
      <c r="R40" s="163">
        <v>1.74345501230908</v>
      </c>
      <c r="S40" s="163">
        <v>2.07527804137407</v>
      </c>
    </row>
    <row r="41" spans="1:19" ht="12.75">
      <c r="A41" s="161" t="s">
        <v>304</v>
      </c>
      <c r="B41" s="162">
        <v>14</v>
      </c>
      <c r="C41" s="163">
        <v>1.48375</v>
      </c>
      <c r="D41" s="163">
        <v>1.73750517051234</v>
      </c>
      <c r="E41" s="164">
        <v>0.429075</v>
      </c>
      <c r="F41" s="164">
        <v>0.0949019657473352</v>
      </c>
      <c r="G41" s="164">
        <v>0.0866762219049986</v>
      </c>
      <c r="H41" s="164">
        <v>0.21050644608727</v>
      </c>
      <c r="I41" s="164">
        <v>0.184530538616431</v>
      </c>
      <c r="J41" s="164">
        <v>0.34258</v>
      </c>
      <c r="K41" s="164">
        <v>0.0598341230487653</v>
      </c>
      <c r="L41" s="164">
        <v>0.0384713723237763</v>
      </c>
      <c r="M41" s="164">
        <v>0.022345117587855</v>
      </c>
      <c r="N41" s="164">
        <v>1.427461550658</v>
      </c>
      <c r="O41" s="164">
        <v>0.0116586658797616</v>
      </c>
      <c r="P41" s="164">
        <v>0.0383254369763645</v>
      </c>
      <c r="Q41" s="164">
        <v>-0.0457835918823875</v>
      </c>
      <c r="R41" s="163">
        <v>4.79656761561339</v>
      </c>
      <c r="S41" s="163">
        <v>0.488588998434972</v>
      </c>
    </row>
    <row r="42" spans="1:19" ht="12.75">
      <c r="A42" s="161" t="s">
        <v>225</v>
      </c>
      <c r="B42" s="162">
        <v>32</v>
      </c>
      <c r="C42" s="163">
        <v>1.35862068965517</v>
      </c>
      <c r="D42" s="163">
        <v>0.649579398774105</v>
      </c>
      <c r="E42" s="164">
        <v>0.442839130434783</v>
      </c>
      <c r="F42" s="164">
        <v>1.62146568353317</v>
      </c>
      <c r="G42" s="164">
        <v>0.618534010846857</v>
      </c>
      <c r="H42" s="164">
        <v>-0.635935092449923</v>
      </c>
      <c r="I42" s="164">
        <v>-0.231681552536422</v>
      </c>
      <c r="J42" s="164">
        <v>0.0613340625</v>
      </c>
      <c r="K42" s="164">
        <v>-0.16161485095278</v>
      </c>
      <c r="L42" s="164">
        <v>-0.16359966117475</v>
      </c>
      <c r="M42" s="164">
        <v>-0.103405667880005</v>
      </c>
      <c r="N42" s="164">
        <v>0.728766887531194</v>
      </c>
      <c r="O42" s="164">
        <v>0.577694799024474</v>
      </c>
      <c r="P42" s="164" t="s">
        <v>433</v>
      </c>
      <c r="Q42" s="164" t="s">
        <v>433</v>
      </c>
      <c r="R42" s="163">
        <v>1.41614934207565</v>
      </c>
      <c r="S42" s="163">
        <v>0.584349727412809</v>
      </c>
    </row>
    <row r="43" spans="1:19" ht="12.75">
      <c r="A43" s="161" t="s">
        <v>226</v>
      </c>
      <c r="B43" s="162">
        <v>68</v>
      </c>
      <c r="C43" s="163">
        <v>1.70022222222222</v>
      </c>
      <c r="D43" s="163">
        <v>0.83947341211937</v>
      </c>
      <c r="E43" s="164">
        <v>0.64466</v>
      </c>
      <c r="F43" s="164">
        <v>1.42619571443687</v>
      </c>
      <c r="G43" s="164">
        <v>0.587832096953438</v>
      </c>
      <c r="H43" s="164">
        <v>0.17096918313851</v>
      </c>
      <c r="I43" s="164">
        <v>0.10834682756645</v>
      </c>
      <c r="J43" s="164">
        <v>0.1796825</v>
      </c>
      <c r="K43" s="164">
        <v>0.229809889788465</v>
      </c>
      <c r="L43" s="164">
        <v>0.152582014301794</v>
      </c>
      <c r="M43" s="164">
        <v>0.0325964350931627</v>
      </c>
      <c r="N43" s="164">
        <v>3.30707687029822</v>
      </c>
      <c r="O43" s="164">
        <v>-0.0357961248202195</v>
      </c>
      <c r="P43" s="164">
        <v>0.104719542693819</v>
      </c>
      <c r="Q43" s="164">
        <v>0.527761978644316</v>
      </c>
      <c r="R43" s="163">
        <v>0.710089115432369</v>
      </c>
      <c r="S43" s="163">
        <v>1.50450703770139</v>
      </c>
    </row>
    <row r="44" spans="1:19" ht="12.75">
      <c r="A44" s="161" t="s">
        <v>474</v>
      </c>
      <c r="B44" s="162">
        <v>26</v>
      </c>
      <c r="C44" s="163">
        <v>1.08</v>
      </c>
      <c r="D44" s="163">
        <v>0.951301620891745</v>
      </c>
      <c r="E44" s="164">
        <v>0.373375</v>
      </c>
      <c r="F44" s="164">
        <v>0.232117843696764</v>
      </c>
      <c r="G44" s="164">
        <v>0.188389320781471</v>
      </c>
      <c r="H44" s="164">
        <v>0.216667636096806</v>
      </c>
      <c r="I44" s="164">
        <v>0.171034035861946</v>
      </c>
      <c r="J44" s="164">
        <v>0.298697307692308</v>
      </c>
      <c r="K44" s="164">
        <v>0.212367483581936</v>
      </c>
      <c r="L44" s="164">
        <v>0.153308914465459</v>
      </c>
      <c r="M44" s="164">
        <v>0.0590100391918245</v>
      </c>
      <c r="N44" s="164">
        <v>0.946747301667297</v>
      </c>
      <c r="O44" s="164">
        <v>0.056876457941747</v>
      </c>
      <c r="P44" s="164">
        <v>0.215774437642894</v>
      </c>
      <c r="Q44" s="164">
        <v>-0.0238595229208482</v>
      </c>
      <c r="R44" s="163">
        <v>1.1156170302183</v>
      </c>
      <c r="S44" s="163">
        <v>2.054373678345</v>
      </c>
    </row>
    <row r="45" spans="1:19" ht="12.75">
      <c r="A45" s="161" t="s">
        <v>266</v>
      </c>
      <c r="B45" s="162">
        <v>31</v>
      </c>
      <c r="C45" s="163">
        <v>1.44208333333333</v>
      </c>
      <c r="D45" s="163">
        <v>1.60560728767748</v>
      </c>
      <c r="E45" s="164">
        <v>0.4380875</v>
      </c>
      <c r="F45" s="164">
        <v>0.184193377747453</v>
      </c>
      <c r="G45" s="164">
        <v>0.155543326967274</v>
      </c>
      <c r="H45" s="164">
        <v>0.162974433524002</v>
      </c>
      <c r="I45" s="164">
        <v>0.173351950611415</v>
      </c>
      <c r="J45" s="164">
        <v>0.297668709677419</v>
      </c>
      <c r="K45" s="164">
        <v>0.0568962491800488</v>
      </c>
      <c r="L45" s="164">
        <v>0.0330648841521126</v>
      </c>
      <c r="M45" s="164">
        <v>0.0120432212586864</v>
      </c>
      <c r="N45" s="164">
        <v>0.818512898330804</v>
      </c>
      <c r="O45" s="164">
        <v>0.0548111359782099</v>
      </c>
      <c r="P45" s="164">
        <v>0.073310839635447</v>
      </c>
      <c r="Q45" s="164">
        <v>-0.0715474328799667</v>
      </c>
      <c r="R45" s="163">
        <v>5.24278112737133</v>
      </c>
      <c r="S45" s="163">
        <v>0.227304814605447</v>
      </c>
    </row>
    <row r="46" spans="1:19" ht="12.75">
      <c r="A46" s="161" t="s">
        <v>45</v>
      </c>
      <c r="B46" s="162">
        <v>167</v>
      </c>
      <c r="C46" s="163">
        <v>1.19706422018349</v>
      </c>
      <c r="D46" s="163">
        <v>0.982796355298811</v>
      </c>
      <c r="E46" s="164">
        <v>0.635017431192661</v>
      </c>
      <c r="F46" s="164">
        <v>0.439819718264712</v>
      </c>
      <c r="G46" s="164">
        <v>0.305468603246237</v>
      </c>
      <c r="H46" s="164">
        <v>0.19744766878659</v>
      </c>
      <c r="I46" s="164">
        <v>0.181770395395769</v>
      </c>
      <c r="J46" s="164">
        <v>0.192551736526946</v>
      </c>
      <c r="K46" s="164">
        <v>0.117598629264035</v>
      </c>
      <c r="L46" s="164">
        <v>0.0827263700640176</v>
      </c>
      <c r="M46" s="164">
        <v>0.0203479518389079</v>
      </c>
      <c r="N46" s="164">
        <v>1.34258691491536</v>
      </c>
      <c r="O46" s="164">
        <v>0.0688231062224511</v>
      </c>
      <c r="P46" s="164">
        <v>0.0515907849829351</v>
      </c>
      <c r="Q46" s="164">
        <v>0.076012158294236</v>
      </c>
      <c r="R46" s="163">
        <v>2.19724853459793</v>
      </c>
      <c r="S46" s="163">
        <v>0.707694161727489</v>
      </c>
    </row>
    <row r="47" spans="1:19" ht="12.75">
      <c r="A47" s="161" t="s">
        <v>267</v>
      </c>
      <c r="B47" s="162">
        <v>34</v>
      </c>
      <c r="C47" s="163">
        <v>1.21761904761905</v>
      </c>
      <c r="D47" s="163">
        <v>1.2441775824509</v>
      </c>
      <c r="E47" s="164">
        <v>0.372590476190476</v>
      </c>
      <c r="F47" s="164">
        <v>0.218767599442629</v>
      </c>
      <c r="G47" s="164">
        <v>0.179499027987515</v>
      </c>
      <c r="H47" s="164">
        <v>0.320393456419967</v>
      </c>
      <c r="I47" s="164">
        <v>0.212033407227143</v>
      </c>
      <c r="J47" s="164">
        <v>0.204436764705882</v>
      </c>
      <c r="K47" s="164">
        <v>0.212556416362045</v>
      </c>
      <c r="L47" s="164">
        <v>0.147156989525501</v>
      </c>
      <c r="M47" s="164">
        <v>0.0592017196107707</v>
      </c>
      <c r="N47" s="164">
        <v>0.982923519872919</v>
      </c>
      <c r="O47" s="164">
        <v>-0.0163626885651032</v>
      </c>
      <c r="P47" s="164">
        <v>0.0546726168266145</v>
      </c>
      <c r="Q47" s="164">
        <v>0.00901951035724945</v>
      </c>
      <c r="R47" s="163">
        <v>1.44086535006479</v>
      </c>
      <c r="S47" s="163">
        <v>1.67695198669104</v>
      </c>
    </row>
    <row r="48" spans="1:19" ht="12.75">
      <c r="A48" s="161" t="s">
        <v>516</v>
      </c>
      <c r="B48" s="162">
        <v>35</v>
      </c>
      <c r="C48" s="163">
        <v>1.174</v>
      </c>
      <c r="D48" s="163">
        <v>1.27076218675788</v>
      </c>
      <c r="E48" s="164">
        <v>0.507436666666667</v>
      </c>
      <c r="F48" s="164">
        <v>0.217083988234111</v>
      </c>
      <c r="G48" s="164">
        <v>0.178364016232834</v>
      </c>
      <c r="H48" s="164">
        <v>0.209079119795961</v>
      </c>
      <c r="I48" s="164" t="s">
        <v>433</v>
      </c>
      <c r="J48" s="164">
        <v>0.258583142857143</v>
      </c>
      <c r="K48" s="164" t="s">
        <v>433</v>
      </c>
      <c r="L48" s="164" t="s">
        <v>433</v>
      </c>
      <c r="M48" s="164" t="s">
        <v>433</v>
      </c>
      <c r="N48" s="164">
        <v>1927.25</v>
      </c>
      <c r="O48" s="164" t="s">
        <v>433</v>
      </c>
      <c r="P48" s="164">
        <v>0.233467812308773</v>
      </c>
      <c r="Q48" s="164">
        <v>-2.80592164036123E-05</v>
      </c>
      <c r="R48" s="163" t="s">
        <v>433</v>
      </c>
      <c r="S48" s="163" t="s">
        <v>433</v>
      </c>
    </row>
    <row r="49" spans="1:19" ht="12.75">
      <c r="A49" s="161" t="s">
        <v>448</v>
      </c>
      <c r="B49" s="162">
        <v>78</v>
      </c>
      <c r="C49" s="163">
        <v>0.913235294117647</v>
      </c>
      <c r="D49" s="163">
        <v>0.920091292858986</v>
      </c>
      <c r="E49" s="164">
        <v>0.264720408163265</v>
      </c>
      <c r="F49" s="164">
        <v>0.0188971509042189</v>
      </c>
      <c r="G49" s="164">
        <v>0.0185466716512541</v>
      </c>
      <c r="H49" s="164">
        <v>0.204402243004728</v>
      </c>
      <c r="I49" s="164" t="s">
        <v>433</v>
      </c>
      <c r="J49" s="164">
        <v>0.202624358974359</v>
      </c>
      <c r="K49" s="164" t="s">
        <v>433</v>
      </c>
      <c r="L49" s="164" t="s">
        <v>433</v>
      </c>
      <c r="M49" s="164" t="s">
        <v>433</v>
      </c>
      <c r="N49" s="164">
        <v>387.069767441861</v>
      </c>
      <c r="O49" s="164" t="s">
        <v>433</v>
      </c>
      <c r="P49" s="164">
        <v>0.142884930371462</v>
      </c>
      <c r="Q49" s="164">
        <v>-0.000659896757490875</v>
      </c>
      <c r="R49" s="163" t="s">
        <v>433</v>
      </c>
      <c r="S49" s="163" t="s">
        <v>433</v>
      </c>
    </row>
    <row r="50" spans="1:19" ht="12.75">
      <c r="A50" s="161" t="s">
        <v>296</v>
      </c>
      <c r="B50" s="162">
        <v>208</v>
      </c>
      <c r="C50" s="163">
        <v>1.41054545454545</v>
      </c>
      <c r="D50" s="163">
        <v>1.65793037034747</v>
      </c>
      <c r="E50" s="164">
        <v>0.863126363636363</v>
      </c>
      <c r="F50" s="164">
        <v>0.0407314409947389</v>
      </c>
      <c r="G50" s="164">
        <v>0.039137321493629</v>
      </c>
      <c r="H50" s="164">
        <v>0.25597939049738</v>
      </c>
      <c r="I50" s="164">
        <v>0.264632399922011</v>
      </c>
      <c r="J50" s="164">
        <v>0.0750225480769231</v>
      </c>
      <c r="K50" s="164">
        <v>0.192329021839968</v>
      </c>
      <c r="L50" s="164">
        <v>0.139420659784814</v>
      </c>
      <c r="M50" s="164">
        <v>0.0653393624940282</v>
      </c>
      <c r="N50" s="164">
        <v>1.33619409788243</v>
      </c>
      <c r="O50" s="164">
        <v>-0.0682877442865555</v>
      </c>
      <c r="P50" s="164">
        <v>0.00202665955067602</v>
      </c>
      <c r="Q50" s="164">
        <v>0.0625328378935547</v>
      </c>
      <c r="R50" s="163">
        <v>1.89808598187996</v>
      </c>
      <c r="S50" s="163">
        <v>2.22107120835046</v>
      </c>
    </row>
    <row r="51" spans="1:19" ht="12.75">
      <c r="A51" s="161" t="s">
        <v>441</v>
      </c>
      <c r="B51" s="162">
        <v>17</v>
      </c>
      <c r="C51" s="163">
        <v>0.825625</v>
      </c>
      <c r="D51" s="163">
        <v>0.899782934131737</v>
      </c>
      <c r="E51" s="164">
        <v>0.189575</v>
      </c>
      <c r="F51" s="164">
        <v>0.148351648351648</v>
      </c>
      <c r="G51" s="164">
        <v>0.129186602870813</v>
      </c>
      <c r="H51" s="164">
        <v>6.47727272727273</v>
      </c>
      <c r="I51" s="164" t="s">
        <v>433</v>
      </c>
      <c r="J51" s="164">
        <v>0</v>
      </c>
      <c r="K51" s="164" t="s">
        <v>433</v>
      </c>
      <c r="L51" s="164" t="s">
        <v>433</v>
      </c>
      <c r="M51" s="164" t="s">
        <v>433</v>
      </c>
      <c r="N51" s="164">
        <v>0.2</v>
      </c>
      <c r="O51" s="164" t="s">
        <v>433</v>
      </c>
      <c r="P51" s="164" t="s">
        <v>433</v>
      </c>
      <c r="Q51" s="164" t="s">
        <v>433</v>
      </c>
      <c r="R51" s="163" t="s">
        <v>433</v>
      </c>
      <c r="S51" s="163" t="s">
        <v>433</v>
      </c>
    </row>
    <row r="52" spans="1:19" ht="12.75">
      <c r="A52" s="161" t="s">
        <v>326</v>
      </c>
      <c r="B52" s="162">
        <v>16</v>
      </c>
      <c r="C52" s="163">
        <v>1.30625</v>
      </c>
      <c r="D52" s="163">
        <v>1.36227937547128</v>
      </c>
      <c r="E52" s="164">
        <v>0.2886625</v>
      </c>
      <c r="F52" s="164">
        <v>0.0515695067264574</v>
      </c>
      <c r="G52" s="164">
        <v>0.0490405117270789</v>
      </c>
      <c r="H52" s="164">
        <v>0.1045910611128</v>
      </c>
      <c r="I52" s="164" t="s">
        <v>433</v>
      </c>
      <c r="J52" s="164">
        <v>0.021129375</v>
      </c>
      <c r="K52" s="164" t="s">
        <v>433</v>
      </c>
      <c r="L52" s="164" t="s">
        <v>433</v>
      </c>
      <c r="M52" s="164" t="s">
        <v>433</v>
      </c>
      <c r="N52" s="164">
        <v>0.842105263157895</v>
      </c>
      <c r="O52" s="164" t="s">
        <v>433</v>
      </c>
      <c r="P52" s="164">
        <v>0.367151162790698</v>
      </c>
      <c r="Q52" s="164">
        <v>-0.0154829614453439</v>
      </c>
      <c r="R52" s="163" t="s">
        <v>433</v>
      </c>
      <c r="S52" s="163" t="s">
        <v>433</v>
      </c>
    </row>
    <row r="53" spans="1:19" ht="12.75">
      <c r="A53" s="161" t="s">
        <v>22</v>
      </c>
      <c r="B53" s="162">
        <v>124</v>
      </c>
      <c r="C53" s="163">
        <v>1.39</v>
      </c>
      <c r="D53" s="163">
        <v>1.08404078902477</v>
      </c>
      <c r="E53" s="164">
        <v>0.486645</v>
      </c>
      <c r="F53" s="164">
        <v>0.557715584406428</v>
      </c>
      <c r="G53" s="164">
        <v>0.358034284300331</v>
      </c>
      <c r="H53" s="164">
        <v>0.235084591582124</v>
      </c>
      <c r="I53" s="164">
        <v>0.17210751040389</v>
      </c>
      <c r="J53" s="164">
        <v>0.227090161290323</v>
      </c>
      <c r="K53" s="164">
        <v>0.137172807379057</v>
      </c>
      <c r="L53" s="164">
        <v>0.0948617738396481</v>
      </c>
      <c r="M53" s="164">
        <v>0.0349065744054016</v>
      </c>
      <c r="N53" s="164">
        <v>1.34950461666148</v>
      </c>
      <c r="O53" s="164">
        <v>0.161406702428971</v>
      </c>
      <c r="P53" s="164">
        <v>0.102073381093723</v>
      </c>
      <c r="Q53" s="164">
        <v>-0.0151299385112644</v>
      </c>
      <c r="R53" s="163">
        <v>1.81429782975401</v>
      </c>
      <c r="S53" s="163">
        <v>0.703957943467321</v>
      </c>
    </row>
    <row r="54" spans="1:19" ht="12.75">
      <c r="A54" s="161" t="s">
        <v>327</v>
      </c>
      <c r="B54" s="162">
        <v>18</v>
      </c>
      <c r="C54" s="163">
        <v>1.318</v>
      </c>
      <c r="D54" s="163">
        <v>1.37777516904107</v>
      </c>
      <c r="E54" s="164">
        <v>0.476666666666666</v>
      </c>
      <c r="F54" s="164">
        <v>0.501293623871673</v>
      </c>
      <c r="G54" s="164">
        <v>0.333907781862745</v>
      </c>
      <c r="H54" s="164">
        <v>0.0889600281946606</v>
      </c>
      <c r="I54" s="164">
        <v>0.0947075987693985</v>
      </c>
      <c r="J54" s="164">
        <v>0.149806111111111</v>
      </c>
      <c r="K54" s="164">
        <v>0.0383256351444996</v>
      </c>
      <c r="L54" s="164">
        <v>0.0237362901021892</v>
      </c>
      <c r="M54" s="164">
        <v>-0.0161043169329572</v>
      </c>
      <c r="N54" s="164">
        <v>0.813345356176736</v>
      </c>
      <c r="O54" s="164">
        <v>0.0570580829030715</v>
      </c>
      <c r="P54" s="164">
        <v>0.0904754044239023</v>
      </c>
      <c r="Q54" s="164">
        <v>0.091704333713462</v>
      </c>
      <c r="R54" s="163">
        <v>3.98999162723679</v>
      </c>
      <c r="S54" s="163">
        <v>0.170944884195321</v>
      </c>
    </row>
    <row r="55" spans="1:19" ht="12.75">
      <c r="A55" s="161" t="s">
        <v>341</v>
      </c>
      <c r="B55" s="162">
        <v>56</v>
      </c>
      <c r="C55" s="163">
        <v>1.30487804878049</v>
      </c>
      <c r="D55" s="163">
        <v>0.520005737021689</v>
      </c>
      <c r="E55" s="164">
        <v>0.370835714285714</v>
      </c>
      <c r="F55" s="164">
        <v>1.85733986552836</v>
      </c>
      <c r="G55" s="164">
        <v>0.650024131863261</v>
      </c>
      <c r="H55" s="164">
        <v>0.199504652883014</v>
      </c>
      <c r="I55" s="164">
        <v>0.121775786175</v>
      </c>
      <c r="J55" s="164">
        <v>0.0708451785714286</v>
      </c>
      <c r="K55" s="164">
        <v>0.306611997711348</v>
      </c>
      <c r="L55" s="164">
        <v>0.290893922767089</v>
      </c>
      <c r="M55" s="164">
        <v>0.133232220945704</v>
      </c>
      <c r="N55" s="164">
        <v>5.23299450973475</v>
      </c>
      <c r="O55" s="164">
        <v>0.0717814700954059</v>
      </c>
      <c r="P55" s="164">
        <v>0.176667546137503</v>
      </c>
      <c r="Q55" s="164">
        <v>0.697032327898168</v>
      </c>
      <c r="R55" s="163">
        <v>0.418626092345361</v>
      </c>
      <c r="S55" s="163">
        <v>2.22605657147268</v>
      </c>
    </row>
    <row r="56" spans="1:19" ht="12.75">
      <c r="A56" s="161" t="s">
        <v>210</v>
      </c>
      <c r="B56" s="162">
        <v>160</v>
      </c>
      <c r="C56" s="163">
        <v>1.10220183486239</v>
      </c>
      <c r="D56" s="163">
        <v>0.897228543862869</v>
      </c>
      <c r="E56" s="164">
        <v>0.868413636363636</v>
      </c>
      <c r="F56" s="164">
        <v>0.546641464145603</v>
      </c>
      <c r="G56" s="164">
        <v>0.353437740302391</v>
      </c>
      <c r="H56" s="164">
        <v>0.245592351807462</v>
      </c>
      <c r="I56" s="164">
        <v>0.182472970146344</v>
      </c>
      <c r="J56" s="164">
        <v>0.183599875</v>
      </c>
      <c r="K56" s="164">
        <v>0.126915272110121</v>
      </c>
      <c r="L56" s="164">
        <v>0.0815677246090775</v>
      </c>
      <c r="M56" s="164">
        <v>0.0238374145741645</v>
      </c>
      <c r="N56" s="164">
        <v>1.46465971998922</v>
      </c>
      <c r="O56" s="164">
        <v>-0.06663761890391</v>
      </c>
      <c r="P56" s="164">
        <v>0.00855748541646744</v>
      </c>
      <c r="Q56" s="164">
        <v>0.0572096264428514</v>
      </c>
      <c r="R56" s="163">
        <v>2.23707319311488</v>
      </c>
      <c r="S56" s="163">
        <v>0.58573803110765</v>
      </c>
    </row>
    <row r="57" spans="1:19" ht="12.75">
      <c r="A57" s="161" t="s">
        <v>428</v>
      </c>
      <c r="B57" s="162">
        <v>252</v>
      </c>
      <c r="C57" s="163">
        <v>1.16655629139073</v>
      </c>
      <c r="D57" s="163">
        <v>1.13116492305185</v>
      </c>
      <c r="E57" s="164">
        <v>0.723776315789474</v>
      </c>
      <c r="F57" s="164">
        <v>0.132805285359813</v>
      </c>
      <c r="G57" s="164">
        <v>0.117235757173952</v>
      </c>
      <c r="H57" s="164">
        <v>0.231721712803076</v>
      </c>
      <c r="I57" s="164">
        <v>0.203359205030623</v>
      </c>
      <c r="J57" s="164">
        <v>0.12505873015873</v>
      </c>
      <c r="K57" s="164">
        <v>0.115289779255889</v>
      </c>
      <c r="L57" s="164">
        <v>0.0853881037173451</v>
      </c>
      <c r="M57" s="164">
        <v>0.035987574586708</v>
      </c>
      <c r="N57" s="164">
        <v>0.98745813716449</v>
      </c>
      <c r="O57" s="164">
        <v>0.0659400927192599</v>
      </c>
      <c r="P57" s="164">
        <v>0.152498404311601</v>
      </c>
      <c r="Q57" s="164">
        <v>-0.0332614146649817</v>
      </c>
      <c r="R57" s="163">
        <v>2.38158708505567</v>
      </c>
      <c r="S57" s="163">
        <v>1.07898297565755</v>
      </c>
    </row>
    <row r="58" spans="1:19" ht="12.75">
      <c r="A58" s="161" t="s">
        <v>308</v>
      </c>
      <c r="B58" s="162">
        <v>35</v>
      </c>
      <c r="C58" s="163">
        <v>1.55565217391304</v>
      </c>
      <c r="D58" s="163">
        <v>1.55140159541445</v>
      </c>
      <c r="E58" s="164">
        <v>0.59995652173913</v>
      </c>
      <c r="F58" s="164">
        <v>0.254448038985343</v>
      </c>
      <c r="G58" s="164">
        <v>0.202836650923503</v>
      </c>
      <c r="H58" s="164">
        <v>0.220062353035893</v>
      </c>
      <c r="I58" s="164">
        <v>0.213275558416641</v>
      </c>
      <c r="J58" s="164">
        <v>0.204294571428571</v>
      </c>
      <c r="K58" s="164">
        <v>0.146526713030201</v>
      </c>
      <c r="L58" s="164">
        <v>0.102248844132872</v>
      </c>
      <c r="M58" s="164">
        <v>0.0270798421033032</v>
      </c>
      <c r="N58" s="164">
        <v>1.9534623141854</v>
      </c>
      <c r="O58" s="164">
        <v>0.10843946672625</v>
      </c>
      <c r="P58" s="164">
        <v>0.104887722662361</v>
      </c>
      <c r="Q58" s="164">
        <v>0.086553138781702</v>
      </c>
      <c r="R58" s="163">
        <v>2.08584811129495</v>
      </c>
      <c r="S58" s="163">
        <v>0.592754999441403</v>
      </c>
    </row>
    <row r="59" spans="1:19" ht="12.75">
      <c r="A59" s="161" t="s">
        <v>309</v>
      </c>
      <c r="B59" s="162">
        <v>78</v>
      </c>
      <c r="C59" s="163">
        <v>1.68558139534884</v>
      </c>
      <c r="D59" s="163">
        <v>1.48132662872831</v>
      </c>
      <c r="E59" s="164">
        <v>0.972079069767442</v>
      </c>
      <c r="F59" s="164">
        <v>0.219430304923464</v>
      </c>
      <c r="G59" s="164">
        <v>0.179944933332813</v>
      </c>
      <c r="H59" s="164">
        <v>0.308552268632422</v>
      </c>
      <c r="I59" s="164">
        <v>0.27615735824604</v>
      </c>
      <c r="J59" s="164">
        <v>0.0929223076923077</v>
      </c>
      <c r="K59" s="164">
        <v>0.360038987533066</v>
      </c>
      <c r="L59" s="164">
        <v>0.253311561477417</v>
      </c>
      <c r="M59" s="164">
        <v>0.0593636250893372</v>
      </c>
      <c r="N59" s="164">
        <v>2.51650521824367</v>
      </c>
      <c r="O59" s="164">
        <v>0.0581283105904374</v>
      </c>
      <c r="P59" s="164">
        <v>0.0999555412811091</v>
      </c>
      <c r="Q59" s="164">
        <v>0.109126844672677</v>
      </c>
      <c r="R59" s="163">
        <v>1.09018852765889</v>
      </c>
      <c r="S59" s="163">
        <v>1.49106244462372</v>
      </c>
    </row>
    <row r="60" spans="1:19" ht="12.75">
      <c r="A60" s="161" t="s">
        <v>164</v>
      </c>
      <c r="B60" s="162">
        <v>34</v>
      </c>
      <c r="C60" s="163">
        <v>1.20466666666667</v>
      </c>
      <c r="D60" s="163">
        <v>0.853504150821425</v>
      </c>
      <c r="E60" s="164">
        <v>0.35646</v>
      </c>
      <c r="F60" s="164">
        <v>0.58572122862679</v>
      </c>
      <c r="G60" s="164">
        <v>0.369372130518815</v>
      </c>
      <c r="H60" s="164">
        <v>0.143104011688242</v>
      </c>
      <c r="I60" s="164">
        <v>0.150771208844171</v>
      </c>
      <c r="J60" s="164">
        <v>0.241914411764706</v>
      </c>
      <c r="K60" s="164">
        <v>0.340563525804764</v>
      </c>
      <c r="L60" s="164">
        <v>0.237514714801901</v>
      </c>
      <c r="M60" s="164">
        <v>0.094138010259737</v>
      </c>
      <c r="N60" s="164">
        <v>2.81529822315687</v>
      </c>
      <c r="O60" s="164">
        <v>-0.0393968880985892</v>
      </c>
      <c r="P60" s="164">
        <v>0.138047219256917</v>
      </c>
      <c r="Q60" s="164">
        <v>0.505262668047762</v>
      </c>
      <c r="R60" s="163">
        <v>0.634786812976713</v>
      </c>
      <c r="S60" s="163">
        <v>1.99649288440709</v>
      </c>
    </row>
    <row r="61" spans="1:19" ht="12.75">
      <c r="A61" s="161" t="s">
        <v>542</v>
      </c>
      <c r="B61" s="162">
        <v>25</v>
      </c>
      <c r="C61" s="163">
        <v>0.691666666666667</v>
      </c>
      <c r="D61" s="163">
        <v>0.430169713863049</v>
      </c>
      <c r="E61" s="164">
        <v>0.257128571428571</v>
      </c>
      <c r="F61" s="164">
        <v>0.853269854877227</v>
      </c>
      <c r="G61" s="164">
        <v>0.46041317330646</v>
      </c>
      <c r="H61" s="164">
        <v>0.123566484140924</v>
      </c>
      <c r="I61" s="164">
        <v>0.12020183886175</v>
      </c>
      <c r="J61" s="164">
        <v>0.24521</v>
      </c>
      <c r="K61" s="164">
        <v>0.147702483440154</v>
      </c>
      <c r="L61" s="164">
        <v>0.103594251537901</v>
      </c>
      <c r="M61" s="164">
        <v>0.0230125373293025</v>
      </c>
      <c r="N61" s="164">
        <v>1.46560042887777</v>
      </c>
      <c r="O61" s="164">
        <v>0.0516838953133514</v>
      </c>
      <c r="P61" s="164">
        <v>0.301365198810851</v>
      </c>
      <c r="Q61" s="164">
        <v>0.0834621751945259</v>
      </c>
      <c r="R61" s="163">
        <v>1.16031379229351</v>
      </c>
      <c r="S61" s="163">
        <v>1.08944923879405</v>
      </c>
    </row>
    <row r="62" spans="1:19" ht="12.75">
      <c r="A62" s="161" t="s">
        <v>82</v>
      </c>
      <c r="B62" s="162">
        <v>16</v>
      </c>
      <c r="C62" s="163">
        <v>1.15846153846154</v>
      </c>
      <c r="D62" s="163">
        <v>0.718640347798985</v>
      </c>
      <c r="E62" s="164">
        <v>0.343169230769231</v>
      </c>
      <c r="F62" s="164">
        <v>0.864264819194322</v>
      </c>
      <c r="G62" s="164">
        <v>0.463595520494685</v>
      </c>
      <c r="H62" s="164">
        <v>0.139552922115921</v>
      </c>
      <c r="I62" s="164">
        <v>0.112063393435636</v>
      </c>
      <c r="J62" s="164">
        <v>0.235275</v>
      </c>
      <c r="K62" s="164">
        <v>0.218989478624298</v>
      </c>
      <c r="L62" s="164">
        <v>0.16055971488749</v>
      </c>
      <c r="M62" s="164">
        <v>0.0218316018780582</v>
      </c>
      <c r="N62" s="164">
        <v>0.715528800890131</v>
      </c>
      <c r="O62" s="164">
        <v>0.0304854400976986</v>
      </c>
      <c r="P62" s="164">
        <v>0.0911790436098139</v>
      </c>
      <c r="Q62" s="164">
        <v>-0.0454815556434018</v>
      </c>
      <c r="R62" s="163">
        <v>0.697954611554731</v>
      </c>
      <c r="S62" s="163">
        <v>1.11900420005116</v>
      </c>
    </row>
    <row r="63" spans="1:19" ht="12.75">
      <c r="A63" s="161" t="s">
        <v>165</v>
      </c>
      <c r="B63" s="162">
        <v>26</v>
      </c>
      <c r="C63" s="163">
        <v>1.11052631578947</v>
      </c>
      <c r="D63" s="163">
        <v>0.839040505955503</v>
      </c>
      <c r="E63" s="164">
        <v>0.423594736842105</v>
      </c>
      <c r="F63" s="164">
        <v>0.603542972192304</v>
      </c>
      <c r="G63" s="164">
        <v>0.376380915671479</v>
      </c>
      <c r="H63" s="164">
        <v>0.198533542479845</v>
      </c>
      <c r="I63" s="164">
        <v>0.158083910890468</v>
      </c>
      <c r="J63" s="164">
        <v>0.227585769230769</v>
      </c>
      <c r="K63" s="164">
        <v>0.0994163120964554</v>
      </c>
      <c r="L63" s="164">
        <v>0.0691982514714279</v>
      </c>
      <c r="M63" s="164">
        <v>0.0173765757455967</v>
      </c>
      <c r="N63" s="164">
        <v>0.833601370120512</v>
      </c>
      <c r="O63" s="164">
        <v>0.0932995124522335</v>
      </c>
      <c r="P63" s="164">
        <v>0.106554461267088</v>
      </c>
      <c r="Q63" s="164">
        <v>-0.0575014678579087</v>
      </c>
      <c r="R63" s="163">
        <v>2.28450730371043</v>
      </c>
      <c r="S63" s="163">
        <v>0.519487635612949</v>
      </c>
    </row>
    <row r="64" spans="1:19" ht="12.75">
      <c r="A64" s="161" t="s">
        <v>543</v>
      </c>
      <c r="B64" s="162">
        <v>19</v>
      </c>
      <c r="C64" s="163">
        <v>0.89375</v>
      </c>
      <c r="D64" s="163">
        <v>0.525021402788052</v>
      </c>
      <c r="E64" s="164">
        <v>0.368983333333333</v>
      </c>
      <c r="F64" s="164">
        <v>0.819479354955955</v>
      </c>
      <c r="G64" s="164">
        <v>0.450392224964703</v>
      </c>
      <c r="H64" s="164">
        <v>0.158091669440299</v>
      </c>
      <c r="I64" s="164">
        <v>0.116867333053337</v>
      </c>
      <c r="J64" s="164">
        <v>0.0948275357312199</v>
      </c>
      <c r="K64" s="164">
        <v>0.152409265899259</v>
      </c>
      <c r="L64" s="164">
        <v>0.122385945787147</v>
      </c>
      <c r="M64" s="164">
        <v>0.0425241248189315</v>
      </c>
      <c r="N64" s="164">
        <v>3.7341518680508</v>
      </c>
      <c r="O64" s="164">
        <v>-0.00448986903547082</v>
      </c>
      <c r="P64" s="164">
        <v>0.396967384291487</v>
      </c>
      <c r="Q64" s="164">
        <v>0.479362426183632</v>
      </c>
      <c r="R64" s="163">
        <v>0.954908117118225</v>
      </c>
      <c r="S64" s="163">
        <v>1.36086757204251</v>
      </c>
    </row>
    <row r="65" spans="1:19" ht="12.75">
      <c r="A65" s="161" t="s">
        <v>494</v>
      </c>
      <c r="B65" s="162">
        <v>112</v>
      </c>
      <c r="C65" s="163">
        <v>1.55676923076923</v>
      </c>
      <c r="D65" s="163">
        <v>1.26619566727208</v>
      </c>
      <c r="E65" s="164">
        <v>0.463424615384615</v>
      </c>
      <c r="F65" s="164">
        <v>0.423458675790453</v>
      </c>
      <c r="G65" s="164">
        <v>0.297485752830376</v>
      </c>
      <c r="H65" s="164">
        <v>0.250989677838825</v>
      </c>
      <c r="I65" s="164">
        <v>0.205047895080822</v>
      </c>
      <c r="J65" s="164">
        <v>0.220666964285714</v>
      </c>
      <c r="K65" s="164">
        <v>0.263604566623495</v>
      </c>
      <c r="L65" s="164">
        <v>0.196487249584527</v>
      </c>
      <c r="M65" s="164">
        <v>0.0824132672364702</v>
      </c>
      <c r="N65" s="164">
        <v>2.68731905810153</v>
      </c>
      <c r="O65" s="164">
        <v>0.12698500424189</v>
      </c>
      <c r="P65" s="164">
        <v>0.0606399353303754</v>
      </c>
      <c r="Q65" s="164">
        <v>0.188560029078463</v>
      </c>
      <c r="R65" s="163">
        <v>1.04356845298815</v>
      </c>
      <c r="S65" s="163">
        <v>1.2401738593707</v>
      </c>
    </row>
    <row r="66" spans="1:19" ht="12.75">
      <c r="A66" s="161" t="s">
        <v>84</v>
      </c>
      <c r="B66" s="162">
        <v>33</v>
      </c>
      <c r="C66" s="163">
        <v>1.265</v>
      </c>
      <c r="D66" s="163">
        <v>0.813961796274924</v>
      </c>
      <c r="E66" s="164">
        <v>0.399021428571429</v>
      </c>
      <c r="F66" s="164">
        <v>0.848279957582185</v>
      </c>
      <c r="G66" s="164">
        <v>0.458956422755272</v>
      </c>
      <c r="H66" s="164">
        <v>0.154061142881713</v>
      </c>
      <c r="I66" s="164">
        <v>0.170645883421895</v>
      </c>
      <c r="J66" s="164">
        <v>0.246533333333333</v>
      </c>
      <c r="K66" s="164">
        <v>0.133856950000876</v>
      </c>
      <c r="L66" s="164">
        <v>0.100418588922049</v>
      </c>
      <c r="M66" s="164">
        <v>0.0196994562646373</v>
      </c>
      <c r="N66" s="164">
        <v>0.957387733819983</v>
      </c>
      <c r="O66" s="164">
        <v>0.0596298394491394</v>
      </c>
      <c r="P66" s="164">
        <v>0.123904549260396</v>
      </c>
      <c r="Q66" s="164">
        <v>-0.032922301135615</v>
      </c>
      <c r="R66" s="163">
        <v>1.6993455619493</v>
      </c>
      <c r="S66" s="163">
        <v>0.723846095442785</v>
      </c>
    </row>
    <row r="67" spans="1:19" ht="12.75">
      <c r="A67" s="161" t="s">
        <v>17</v>
      </c>
      <c r="B67" s="162">
        <v>38</v>
      </c>
      <c r="C67" s="163">
        <v>1.2048</v>
      </c>
      <c r="D67" s="163">
        <v>0.635628627357349</v>
      </c>
      <c r="E67" s="164">
        <v>0.484172</v>
      </c>
      <c r="F67" s="164">
        <v>1.18102564382992</v>
      </c>
      <c r="G67" s="164">
        <v>0.541500118153595</v>
      </c>
      <c r="H67" s="164">
        <v>0.0574921234020465</v>
      </c>
      <c r="I67" s="164">
        <v>0.112104932290767</v>
      </c>
      <c r="J67" s="164">
        <v>0.136649473684211</v>
      </c>
      <c r="K67" s="164">
        <v>0.12236701338325</v>
      </c>
      <c r="L67" s="164">
        <v>0.103050042643121</v>
      </c>
      <c r="M67" s="164">
        <v>0.00804519042692108</v>
      </c>
      <c r="N67" s="164">
        <v>0.906191578385115</v>
      </c>
      <c r="O67" s="164">
        <v>0.113700970677782</v>
      </c>
      <c r="P67" s="164">
        <v>0.289214025755879</v>
      </c>
      <c r="Q67" s="164">
        <v>0.00620924745045132</v>
      </c>
      <c r="R67" s="163">
        <v>1.08786885881264</v>
      </c>
      <c r="S67" s="163">
        <v>0.740874505618372</v>
      </c>
    </row>
    <row r="68" spans="1:19" ht="12.75">
      <c r="A68" s="161" t="s">
        <v>349</v>
      </c>
      <c r="B68" s="162">
        <v>25</v>
      </c>
      <c r="C68" s="163">
        <v>1.33583333333333</v>
      </c>
      <c r="D68" s="163">
        <v>1.29523556361951</v>
      </c>
      <c r="E68" s="164">
        <v>0.3735125</v>
      </c>
      <c r="F68" s="164">
        <v>0.146691696971407</v>
      </c>
      <c r="G68" s="164">
        <v>0.127926013032834</v>
      </c>
      <c r="H68" s="164">
        <v>0.261364487160008</v>
      </c>
      <c r="I68" s="164">
        <v>0.256061248769175</v>
      </c>
      <c r="J68" s="164">
        <v>0.3378816</v>
      </c>
      <c r="K68" s="164">
        <v>0.179617963474677</v>
      </c>
      <c r="L68" s="164">
        <v>0.104485959811021</v>
      </c>
      <c r="M68" s="164">
        <v>0.0510653416792271</v>
      </c>
      <c r="N68" s="164">
        <v>1.86977650098015</v>
      </c>
      <c r="O68" s="164">
        <v>0.022200358765512</v>
      </c>
      <c r="P68" s="164">
        <v>0.140413122985703</v>
      </c>
      <c r="Q68" s="164">
        <v>0.125173955247461</v>
      </c>
      <c r="R68" s="163">
        <v>2.45067614091216</v>
      </c>
      <c r="S68" s="163">
        <v>0.649962284891728</v>
      </c>
    </row>
    <row r="69" spans="1:19" ht="12.75">
      <c r="A69" s="161" t="s">
        <v>400</v>
      </c>
      <c r="B69" s="162">
        <v>188</v>
      </c>
      <c r="C69" s="163">
        <v>1.24242857142857</v>
      </c>
      <c r="D69" s="163">
        <v>0.966477405339278</v>
      </c>
      <c r="E69" s="164">
        <v>0.782742857142857</v>
      </c>
      <c r="F69" s="164">
        <v>0.375689583799744</v>
      </c>
      <c r="G69" s="164">
        <v>0.273091828435645</v>
      </c>
      <c r="H69" s="164">
        <v>0.16747226857887</v>
      </c>
      <c r="I69" s="164">
        <v>0.234103775518932</v>
      </c>
      <c r="J69" s="164">
        <v>0.139785106382979</v>
      </c>
      <c r="K69" s="164">
        <v>0.385682863553641</v>
      </c>
      <c r="L69" s="164">
        <v>0.264262266091354</v>
      </c>
      <c r="M69" s="164">
        <v>0.0699483479243942</v>
      </c>
      <c r="N69" s="164">
        <v>2.91475198110241</v>
      </c>
      <c r="O69" s="164">
        <v>0.0288674914351842</v>
      </c>
      <c r="P69" s="164">
        <v>0.0512631642038062</v>
      </c>
      <c r="Q69" s="164">
        <v>0.426501136382302</v>
      </c>
      <c r="R69" s="163">
        <v>0.885876667075892</v>
      </c>
      <c r="S69" s="163">
        <v>1.28730993457607</v>
      </c>
    </row>
    <row r="70" spans="1:19" ht="12.75">
      <c r="A70" s="161" t="s">
        <v>442</v>
      </c>
      <c r="B70" s="162">
        <v>19</v>
      </c>
      <c r="C70" s="163">
        <v>0.936666666666667</v>
      </c>
      <c r="D70" s="163">
        <v>0.809462378920553</v>
      </c>
      <c r="E70" s="164">
        <v>0.30961</v>
      </c>
      <c r="F70" s="164">
        <v>0.234994482034758</v>
      </c>
      <c r="G70" s="164">
        <v>0.190279782989463</v>
      </c>
      <c r="H70" s="164">
        <v>0.119942900007449</v>
      </c>
      <c r="I70" s="164">
        <v>0.121745919544183</v>
      </c>
      <c r="J70" s="164">
        <v>0.21128</v>
      </c>
      <c r="K70" s="164">
        <v>0.0641236377071431</v>
      </c>
      <c r="L70" s="164">
        <v>0.0413328127499118</v>
      </c>
      <c r="M70" s="164">
        <v>0.0143055469169403</v>
      </c>
      <c r="N70" s="164">
        <v>1.63330399295831</v>
      </c>
      <c r="O70" s="164">
        <v>0.0532968679769316</v>
      </c>
      <c r="P70" s="164">
        <v>0.0620478804073084</v>
      </c>
      <c r="Q70" s="164">
        <v>0.0263364619718764</v>
      </c>
      <c r="R70" s="163">
        <v>2.94550289332638</v>
      </c>
      <c r="S70" s="163">
        <v>0.561835006943434</v>
      </c>
    </row>
    <row r="71" spans="1:19" ht="12.75">
      <c r="A71" s="161" t="s">
        <v>443</v>
      </c>
      <c r="B71" s="162">
        <v>66</v>
      </c>
      <c r="C71" s="163">
        <v>1.63</v>
      </c>
      <c r="D71" s="163">
        <v>0.949127675649148</v>
      </c>
      <c r="E71" s="164">
        <v>0.710911764705882</v>
      </c>
      <c r="F71" s="164">
        <v>1.0788314773145</v>
      </c>
      <c r="G71" s="164">
        <v>0.518960526183763</v>
      </c>
      <c r="H71" s="164">
        <v>0.190451335717336</v>
      </c>
      <c r="I71" s="164">
        <v>0.11705791101846</v>
      </c>
      <c r="J71" s="164">
        <v>0.0625216666666667</v>
      </c>
      <c r="K71" s="164">
        <v>0.180889408712967</v>
      </c>
      <c r="L71" s="164">
        <v>0.127445904637629</v>
      </c>
      <c r="M71" s="164">
        <v>0.0250344847826725</v>
      </c>
      <c r="N71" s="164">
        <v>1.97178451841639</v>
      </c>
      <c r="O71" s="164">
        <v>0.0695836315241709</v>
      </c>
      <c r="P71" s="164">
        <v>0.00191162148082716</v>
      </c>
      <c r="Q71" s="164">
        <v>0.124718614342505</v>
      </c>
      <c r="R71" s="163">
        <v>0.918490957801229</v>
      </c>
      <c r="S71" s="163">
        <v>1.53684509954871</v>
      </c>
    </row>
    <row r="72" spans="1:19" ht="12.75">
      <c r="A72" s="161" t="s">
        <v>269</v>
      </c>
      <c r="B72" s="162">
        <v>75</v>
      </c>
      <c r="C72" s="163">
        <v>1.41454545454545</v>
      </c>
      <c r="D72" s="163">
        <v>1.37139976005138</v>
      </c>
      <c r="E72" s="164">
        <v>0.67331</v>
      </c>
      <c r="F72" s="164">
        <v>0.117682463539777</v>
      </c>
      <c r="G72" s="164">
        <v>0.105291500384706</v>
      </c>
      <c r="H72" s="164">
        <v>0.0331746571667118</v>
      </c>
      <c r="I72" s="164">
        <v>0.0854465569542035</v>
      </c>
      <c r="J72" s="164">
        <v>0.0593753333333333</v>
      </c>
      <c r="K72" s="164">
        <v>0.327986464982866</v>
      </c>
      <c r="L72" s="164">
        <v>0.237927273223786</v>
      </c>
      <c r="M72" s="164">
        <v>0.0932441949518821</v>
      </c>
      <c r="N72" s="164">
        <v>2.30192663695578</v>
      </c>
      <c r="O72" s="164">
        <v>0.00019300540209799</v>
      </c>
      <c r="P72" s="164">
        <v>0.199525989691852</v>
      </c>
      <c r="Q72" s="164">
        <v>0.517456857131689</v>
      </c>
      <c r="R72" s="163">
        <v>0.35912888756488</v>
      </c>
      <c r="S72" s="163">
        <v>4.72349922900502</v>
      </c>
    </row>
    <row r="73" spans="1:19" ht="12.75">
      <c r="A73" s="161" t="s">
        <v>251</v>
      </c>
      <c r="B73" s="162">
        <v>90</v>
      </c>
      <c r="C73" s="163">
        <v>1.4663768115942</v>
      </c>
      <c r="D73" s="163">
        <v>1.58855937877798</v>
      </c>
      <c r="E73" s="164">
        <v>0.539563768115942</v>
      </c>
      <c r="F73" s="164">
        <v>0.226541589430938</v>
      </c>
      <c r="G73" s="164">
        <v>0.184699476465403</v>
      </c>
      <c r="H73" s="164">
        <v>0.152644608613644</v>
      </c>
      <c r="I73" s="164">
        <v>0.167609415013613</v>
      </c>
      <c r="J73" s="164">
        <v>0.143784444444444</v>
      </c>
      <c r="K73" s="164">
        <v>0.163053311712441</v>
      </c>
      <c r="L73" s="164">
        <v>0.125945347590457</v>
      </c>
      <c r="M73" s="164">
        <v>0.041060557981846</v>
      </c>
      <c r="N73" s="164">
        <v>0.5114839983296</v>
      </c>
      <c r="O73" s="164">
        <v>0.101258423588553</v>
      </c>
      <c r="P73" s="164">
        <v>0.0496206719011456</v>
      </c>
      <c r="Q73" s="164">
        <v>-0.148840025202215</v>
      </c>
      <c r="R73" s="163">
        <v>1.33081069067067</v>
      </c>
      <c r="S73" s="163">
        <v>0.923786877990531</v>
      </c>
    </row>
    <row r="74" spans="1:19" ht="12.75">
      <c r="A74" s="161" t="s">
        <v>170</v>
      </c>
      <c r="B74" s="162">
        <v>17</v>
      </c>
      <c r="C74" s="163">
        <v>1.37833333333333</v>
      </c>
      <c r="D74" s="163">
        <v>0.464805399094562</v>
      </c>
      <c r="E74" s="164">
        <v>0.32785</v>
      </c>
      <c r="F74" s="164">
        <v>2.82911660107807</v>
      </c>
      <c r="G74" s="164">
        <v>0.738843157787764</v>
      </c>
      <c r="H74" s="164">
        <v>0.0957927871786268</v>
      </c>
      <c r="I74" s="164">
        <v>0.0980980556121359</v>
      </c>
      <c r="J74" s="164">
        <v>0.192688823529412</v>
      </c>
      <c r="K74" s="164">
        <v>0.355109877120626</v>
      </c>
      <c r="L74" s="164">
        <v>0.279856900378417</v>
      </c>
      <c r="M74" s="164">
        <v>0.0402086256501835</v>
      </c>
      <c r="N74" s="164">
        <v>6.08411739049162</v>
      </c>
      <c r="O74" s="164">
        <v>-0.178632878382017</v>
      </c>
      <c r="P74" s="164">
        <v>0.239038087294968</v>
      </c>
      <c r="Q74" s="164">
        <v>0.944030535052318</v>
      </c>
      <c r="R74" s="163">
        <v>0.350529343673461</v>
      </c>
      <c r="S74" s="163">
        <v>2.89648652862225</v>
      </c>
    </row>
    <row r="75" spans="1:19" ht="12.75">
      <c r="A75" s="161" t="s">
        <v>252</v>
      </c>
      <c r="B75" s="162">
        <v>27</v>
      </c>
      <c r="C75" s="163">
        <v>1.23631578947368</v>
      </c>
      <c r="D75" s="163">
        <v>0.615381643206829</v>
      </c>
      <c r="E75" s="164">
        <v>0.392836842105263</v>
      </c>
      <c r="F75" s="164">
        <v>1.37134103565376</v>
      </c>
      <c r="G75" s="164">
        <v>0.578297686851141</v>
      </c>
      <c r="H75" s="164">
        <v>-0.663764342094556</v>
      </c>
      <c r="I75" s="164">
        <v>0.201167530910169</v>
      </c>
      <c r="J75" s="164">
        <v>0.207306296296296</v>
      </c>
      <c r="K75" s="164">
        <v>0.172562733426365</v>
      </c>
      <c r="L75" s="164">
        <v>0.102743044718047</v>
      </c>
      <c r="M75" s="164">
        <v>0.0130425618513242</v>
      </c>
      <c r="N75" s="164">
        <v>0.896900851957032</v>
      </c>
      <c r="O75" s="164">
        <v>0.0416678780126174</v>
      </c>
      <c r="P75" s="164">
        <v>0.806119897020963</v>
      </c>
      <c r="Q75" s="164">
        <v>-0.0109317016616116</v>
      </c>
      <c r="R75" s="163">
        <v>1.95796738808183</v>
      </c>
      <c r="S75" s="163">
        <v>0.890793528505393</v>
      </c>
    </row>
    <row r="76" spans="1:19" ht="12.75">
      <c r="A76" s="161" t="s">
        <v>480</v>
      </c>
      <c r="B76" s="162">
        <v>144</v>
      </c>
      <c r="C76" s="163">
        <v>1.3456880733945</v>
      </c>
      <c r="D76" s="163">
        <v>0.920180822983936</v>
      </c>
      <c r="E76" s="164">
        <v>0.365240366972477</v>
      </c>
      <c r="F76" s="164">
        <v>0.531891673509435</v>
      </c>
      <c r="G76" s="164">
        <v>0.347212327547232</v>
      </c>
      <c r="H76" s="164">
        <v>0.0894839145867373</v>
      </c>
      <c r="I76" s="164">
        <v>0.0848992808600968</v>
      </c>
      <c r="J76" s="164">
        <v>0.0121234027777778</v>
      </c>
      <c r="K76" s="164">
        <v>0.181108170260771</v>
      </c>
      <c r="L76" s="164">
        <v>0.160810222877887</v>
      </c>
      <c r="M76" s="164">
        <v>0.611865607960544</v>
      </c>
      <c r="N76" s="164">
        <v>6.06999772365126</v>
      </c>
      <c r="O76" s="164">
        <v>-0.0411622626227564</v>
      </c>
      <c r="P76" s="164">
        <v>1.15463875334488</v>
      </c>
      <c r="Q76" s="164">
        <v>2.42891735548329</v>
      </c>
      <c r="R76" s="163">
        <v>0.527947038072113</v>
      </c>
      <c r="S76" s="163">
        <v>4.04826369303308</v>
      </c>
    </row>
    <row r="77" spans="1:19" ht="12.75">
      <c r="A77" s="161" t="s">
        <v>481</v>
      </c>
      <c r="B77" s="162">
        <v>15</v>
      </c>
      <c r="C77" s="163">
        <v>1.24916666666667</v>
      </c>
      <c r="D77" s="163">
        <v>0.993401123743522</v>
      </c>
      <c r="E77" s="164">
        <v>0.304241666666667</v>
      </c>
      <c r="F77" s="164">
        <v>0.415278315043422</v>
      </c>
      <c r="G77" s="164">
        <v>0.293425194627306</v>
      </c>
      <c r="H77" s="164">
        <v>0.151169185711351</v>
      </c>
      <c r="I77" s="164">
        <v>0.139116399387992</v>
      </c>
      <c r="J77" s="164">
        <v>0.306152666666667</v>
      </c>
      <c r="K77" s="164">
        <v>0.319189923794006</v>
      </c>
      <c r="L77" s="164">
        <v>0.206034553902944</v>
      </c>
      <c r="M77" s="164">
        <v>0.0723762283440156</v>
      </c>
      <c r="N77" s="164">
        <v>1.90874467728711</v>
      </c>
      <c r="O77" s="164">
        <v>-0.0411469110257168</v>
      </c>
      <c r="P77" s="164">
        <v>0.141020809590602</v>
      </c>
      <c r="Q77" s="164">
        <v>0.188310883569571</v>
      </c>
      <c r="R77" s="163">
        <v>0.675209069317207</v>
      </c>
      <c r="S77" s="163">
        <v>2.03162801092983</v>
      </c>
    </row>
    <row r="78" spans="1:19" ht="12.75">
      <c r="A78" s="161" t="s">
        <v>343</v>
      </c>
      <c r="B78" s="162">
        <v>64</v>
      </c>
      <c r="C78" s="163">
        <v>1.40976744186046</v>
      </c>
      <c r="D78" s="163">
        <v>1.00989550723283</v>
      </c>
      <c r="E78" s="164">
        <v>0.577532558139535</v>
      </c>
      <c r="F78" s="164">
        <v>0.625816825742127</v>
      </c>
      <c r="G78" s="164">
        <v>0.384924559663395</v>
      </c>
      <c r="H78" s="164">
        <v>0.144895612378888</v>
      </c>
      <c r="I78" s="164">
        <v>0.14018398716603</v>
      </c>
      <c r="J78" s="164">
        <v>0.19118125</v>
      </c>
      <c r="K78" s="164">
        <v>0.195616929593274</v>
      </c>
      <c r="L78" s="164">
        <v>0.156171173706023</v>
      </c>
      <c r="M78" s="164">
        <v>0.0448505885605941</v>
      </c>
      <c r="N78" s="164">
        <v>2.01189422280607</v>
      </c>
      <c r="O78" s="164">
        <v>-0.00795280981724338</v>
      </c>
      <c r="P78" s="164">
        <v>0.216695176555755</v>
      </c>
      <c r="Q78" s="164">
        <v>0.207250821434413</v>
      </c>
      <c r="R78" s="163">
        <v>0.897630361861229</v>
      </c>
      <c r="S78" s="163">
        <v>1.16445407548586</v>
      </c>
    </row>
    <row r="79" spans="1:19" ht="12.75">
      <c r="A79" s="161" t="s">
        <v>171</v>
      </c>
      <c r="B79" s="162">
        <v>11</v>
      </c>
      <c r="C79" s="163">
        <v>0.90625</v>
      </c>
      <c r="D79" s="163">
        <v>1.00028495463767</v>
      </c>
      <c r="E79" s="164">
        <v>0.223342857142857</v>
      </c>
      <c r="F79" s="164">
        <v>0.113668169802519</v>
      </c>
      <c r="G79" s="164">
        <v>0.102066461882156</v>
      </c>
      <c r="H79" s="164">
        <v>0.170404616696177</v>
      </c>
      <c r="I79" s="164" t="s">
        <v>433</v>
      </c>
      <c r="J79" s="164">
        <v>0.0886636363636363</v>
      </c>
      <c r="K79" s="164" t="s">
        <v>433</v>
      </c>
      <c r="L79" s="164" t="s">
        <v>433</v>
      </c>
      <c r="M79" s="164" t="s">
        <v>433</v>
      </c>
      <c r="N79" s="164" t="s">
        <v>433</v>
      </c>
      <c r="O79" s="164" t="s">
        <v>433</v>
      </c>
      <c r="P79" s="164">
        <v>0.128494644346097</v>
      </c>
      <c r="Q79" s="164">
        <v>0</v>
      </c>
      <c r="R79" s="163" t="s">
        <v>433</v>
      </c>
      <c r="S79" s="163" t="s">
        <v>433</v>
      </c>
    </row>
    <row r="80" spans="1:19" ht="12.75">
      <c r="A80" s="161" t="s">
        <v>344</v>
      </c>
      <c r="B80" s="162">
        <v>68</v>
      </c>
      <c r="C80" s="163">
        <v>1.2595652173913</v>
      </c>
      <c r="D80" s="163">
        <v>1.08573159954203</v>
      </c>
      <c r="E80" s="164">
        <v>0.489510869565217</v>
      </c>
      <c r="F80" s="164">
        <v>0.249707078835688</v>
      </c>
      <c r="G80" s="164">
        <v>0.199812486513506</v>
      </c>
      <c r="H80" s="164">
        <v>0.29699066209552</v>
      </c>
      <c r="I80" s="164">
        <v>0.221466528128382</v>
      </c>
      <c r="J80" s="164">
        <v>0.201032058823529</v>
      </c>
      <c r="K80" s="164">
        <v>0.163512137417689</v>
      </c>
      <c r="L80" s="164">
        <v>0.131591993198916</v>
      </c>
      <c r="M80" s="164">
        <v>0.0410349118243166</v>
      </c>
      <c r="N80" s="164">
        <v>1.78564268730477</v>
      </c>
      <c r="O80" s="164">
        <v>-0.0511142763303044</v>
      </c>
      <c r="P80" s="164">
        <v>0.211827642389157</v>
      </c>
      <c r="Q80" s="164">
        <v>0.149661529741294</v>
      </c>
      <c r="R80" s="163">
        <v>1.68297874927398</v>
      </c>
      <c r="S80" s="163">
        <v>1.57420311778413</v>
      </c>
    </row>
    <row r="81" spans="1:19" ht="12.75">
      <c r="A81" s="161" t="s">
        <v>317</v>
      </c>
      <c r="B81" s="162">
        <v>155</v>
      </c>
      <c r="C81" s="163">
        <v>1.25982608695652</v>
      </c>
      <c r="D81" s="163">
        <v>1.22204422373668</v>
      </c>
      <c r="E81" s="164">
        <v>0.571487068965518</v>
      </c>
      <c r="F81" s="164">
        <v>0.260725307623334</v>
      </c>
      <c r="G81" s="164">
        <v>0.206805801427785</v>
      </c>
      <c r="H81" s="164">
        <v>0.2303000764704</v>
      </c>
      <c r="I81" s="164">
        <v>0.226491369899637</v>
      </c>
      <c r="J81" s="164">
        <v>0.230750064516129</v>
      </c>
      <c r="K81" s="164">
        <v>0.0936810337266783</v>
      </c>
      <c r="L81" s="164">
        <v>0.0606110189246275</v>
      </c>
      <c r="M81" s="164">
        <v>0.0182162932546643</v>
      </c>
      <c r="N81" s="164">
        <v>1.39682617697473</v>
      </c>
      <c r="O81" s="164">
        <v>0.0629520525320637</v>
      </c>
      <c r="P81" s="164">
        <v>0.0970289226676971</v>
      </c>
      <c r="Q81" s="164">
        <v>0.0959973592110572</v>
      </c>
      <c r="R81" s="163">
        <v>3.73680188715007</v>
      </c>
      <c r="S81" s="163">
        <v>0.401931342830945</v>
      </c>
    </row>
    <row r="82" spans="1:19" ht="12.75">
      <c r="A82" s="161" t="s">
        <v>232</v>
      </c>
      <c r="B82" s="162">
        <v>16</v>
      </c>
      <c r="C82" s="163">
        <v>1.31333333333333</v>
      </c>
      <c r="D82" s="163">
        <v>0.931989712904759</v>
      </c>
      <c r="E82" s="164">
        <v>0.35232</v>
      </c>
      <c r="F82" s="164">
        <v>0.668770956862051</v>
      </c>
      <c r="G82" s="164">
        <v>0.400756589220371</v>
      </c>
      <c r="H82" s="164">
        <v>0.16174553095422</v>
      </c>
      <c r="I82" s="164">
        <v>0.116660794262506</v>
      </c>
      <c r="J82" s="164">
        <v>0.3422925</v>
      </c>
      <c r="K82" s="164">
        <v>0.0672144118780989</v>
      </c>
      <c r="L82" s="164">
        <v>0.0431379940858311</v>
      </c>
      <c r="M82" s="164">
        <v>0.0126027722736769</v>
      </c>
      <c r="N82" s="164">
        <v>2.33041933523444</v>
      </c>
      <c r="O82" s="164">
        <v>0.128631212286946</v>
      </c>
      <c r="P82" s="164">
        <v>0.0195944169502011</v>
      </c>
      <c r="Q82" s="164">
        <v>0.241406972215557</v>
      </c>
      <c r="R82" s="163">
        <v>2.70436298058709</v>
      </c>
      <c r="S82" s="163">
        <v>0.465367873185515</v>
      </c>
    </row>
    <row r="83" spans="1:19" ht="12.75">
      <c r="A83" s="161" t="s">
        <v>318</v>
      </c>
      <c r="B83" s="162">
        <v>8</v>
      </c>
      <c r="C83" s="163">
        <v>1.01428571428571</v>
      </c>
      <c r="D83" s="163">
        <v>0.862209817360273</v>
      </c>
      <c r="E83" s="164">
        <v>0.248228571428571</v>
      </c>
      <c r="F83" s="164">
        <v>0.26345284793139</v>
      </c>
      <c r="G83" s="164">
        <v>0.208518147996368</v>
      </c>
      <c r="H83" s="164">
        <v>0.210699860803688</v>
      </c>
      <c r="I83" s="164">
        <v>0.178198528762073</v>
      </c>
      <c r="J83" s="164">
        <v>0.2812375</v>
      </c>
      <c r="K83" s="164">
        <v>0.115904503135527</v>
      </c>
      <c r="L83" s="164">
        <v>0.0730532647558138</v>
      </c>
      <c r="M83" s="164">
        <v>0.022608034013588</v>
      </c>
      <c r="N83" s="164">
        <v>2.4252743806836</v>
      </c>
      <c r="O83" s="164">
        <v>0.0506770291871867</v>
      </c>
      <c r="P83" s="164">
        <v>0.145457166838144</v>
      </c>
      <c r="Q83" s="164">
        <v>0.234230132577129</v>
      </c>
      <c r="R83" s="163">
        <v>2.43929589399892</v>
      </c>
      <c r="S83" s="163">
        <v>0.723226472900655</v>
      </c>
    </row>
    <row r="84" spans="1:19" ht="12.75">
      <c r="A84" s="161" t="s">
        <v>319</v>
      </c>
      <c r="B84" s="162">
        <v>38</v>
      </c>
      <c r="C84" s="163">
        <v>1.00606060606061</v>
      </c>
      <c r="D84" s="163">
        <v>0.862531802257041</v>
      </c>
      <c r="E84" s="164">
        <v>0.402976666666666</v>
      </c>
      <c r="F84" s="164">
        <v>0.302895382536308</v>
      </c>
      <c r="G84" s="164">
        <v>0.232478667586242</v>
      </c>
      <c r="H84" s="164">
        <v>0.19893723228425</v>
      </c>
      <c r="I84" s="164">
        <v>0.151899839989978</v>
      </c>
      <c r="J84" s="164">
        <v>0.256841842105263</v>
      </c>
      <c r="K84" s="164">
        <v>0.069349093231791</v>
      </c>
      <c r="L84" s="164">
        <v>0.0446934066804075</v>
      </c>
      <c r="M84" s="164">
        <v>0.0155738567398795</v>
      </c>
      <c r="N84" s="164">
        <v>2.02227864926659</v>
      </c>
      <c r="O84" s="164">
        <v>0.0153190412734987</v>
      </c>
      <c r="P84" s="164">
        <v>0.111797069269851</v>
      </c>
      <c r="Q84" s="164">
        <v>0.222786190531659</v>
      </c>
      <c r="R84" s="163">
        <v>3.39870802591039</v>
      </c>
      <c r="S84" s="163">
        <v>0.53840296492817</v>
      </c>
    </row>
    <row r="85" spans="1:19" ht="12.75">
      <c r="A85" s="161" t="s">
        <v>320</v>
      </c>
      <c r="B85" s="162">
        <v>32</v>
      </c>
      <c r="C85" s="163">
        <v>1.36684210526316</v>
      </c>
      <c r="D85" s="163">
        <v>0.368105734187753</v>
      </c>
      <c r="E85" s="164">
        <v>0.512505263157895</v>
      </c>
      <c r="F85" s="164">
        <v>4.62272578593777</v>
      </c>
      <c r="G85" s="164">
        <v>0.822150316755449</v>
      </c>
      <c r="H85" s="164">
        <v>-0.110964634067864</v>
      </c>
      <c r="I85" s="164">
        <v>0.153534378499191</v>
      </c>
      <c r="J85" s="164">
        <v>0.2215659375</v>
      </c>
      <c r="K85" s="164">
        <v>0.339467933988281</v>
      </c>
      <c r="L85" s="164">
        <v>0.25614773718329</v>
      </c>
      <c r="M85" s="164">
        <v>-0.0139594418465592</v>
      </c>
      <c r="N85" s="164">
        <v>1.66763105507631</v>
      </c>
      <c r="O85" s="164">
        <v>1.20388701768482</v>
      </c>
      <c r="P85" s="164">
        <v>0.280168014316013</v>
      </c>
      <c r="Q85" s="164">
        <v>1.40866667170339</v>
      </c>
      <c r="R85" s="163">
        <v>0.599397754544002</v>
      </c>
      <c r="S85" s="163">
        <v>1.81993026974925</v>
      </c>
    </row>
    <row r="86" spans="1:19" ht="12.75">
      <c r="A86" s="161" t="s">
        <v>134</v>
      </c>
      <c r="B86" s="162">
        <v>122</v>
      </c>
      <c r="C86" s="163">
        <v>1.80894117647059</v>
      </c>
      <c r="D86" s="163">
        <v>2.11340974082554</v>
      </c>
      <c r="E86" s="164">
        <v>0.591971764705882</v>
      </c>
      <c r="F86" s="164">
        <v>0.133150587625873</v>
      </c>
      <c r="G86" s="164">
        <v>0.11750475980853</v>
      </c>
      <c r="H86" s="164">
        <v>0.22178736959904</v>
      </c>
      <c r="I86" s="164">
        <v>0.286650645077564</v>
      </c>
      <c r="J86" s="164">
        <v>0.104755081967213</v>
      </c>
      <c r="K86" s="164">
        <v>0.277274661000257</v>
      </c>
      <c r="L86" s="164">
        <v>0.219657135761437</v>
      </c>
      <c r="M86" s="164">
        <v>0.0469281614039446</v>
      </c>
      <c r="N86" s="164">
        <v>1.10683215916484</v>
      </c>
      <c r="O86" s="164">
        <v>0.0897282430286307</v>
      </c>
      <c r="P86" s="164">
        <v>0.218173183410555</v>
      </c>
      <c r="Q86" s="164">
        <v>0.0149666831550264</v>
      </c>
      <c r="R86" s="163">
        <v>1.30499127234768</v>
      </c>
      <c r="S86" s="163">
        <v>1.31448110654683</v>
      </c>
    </row>
    <row r="87" spans="1:19" ht="12.75">
      <c r="A87" s="161" t="s">
        <v>271</v>
      </c>
      <c r="B87" s="162">
        <v>16</v>
      </c>
      <c r="C87" s="163">
        <v>1.77733333333333</v>
      </c>
      <c r="D87" s="163">
        <v>2.20115655471094</v>
      </c>
      <c r="E87" s="164">
        <v>0.433513333333333</v>
      </c>
      <c r="F87" s="164">
        <v>0.13615706808642</v>
      </c>
      <c r="G87" s="164">
        <v>0.119840004442118</v>
      </c>
      <c r="H87" s="164">
        <v>0.323679129366333</v>
      </c>
      <c r="I87" s="164">
        <v>0.299060144394271</v>
      </c>
      <c r="J87" s="164">
        <v>0.2202825</v>
      </c>
      <c r="K87" s="164">
        <v>0.237532067538298</v>
      </c>
      <c r="L87" s="164">
        <v>0.174079364778716</v>
      </c>
      <c r="M87" s="164">
        <v>0.0456839326896939</v>
      </c>
      <c r="N87" s="164">
        <v>0.951497037386608</v>
      </c>
      <c r="O87" s="164">
        <v>0.156205333263182</v>
      </c>
      <c r="P87" s="164">
        <v>0.0500976138828633</v>
      </c>
      <c r="Q87" s="164">
        <v>0.0505605164693741</v>
      </c>
      <c r="R87" s="163">
        <v>1.71795287037281</v>
      </c>
      <c r="S87" s="163">
        <v>0.806943238716579</v>
      </c>
    </row>
    <row r="88" spans="1:19" ht="12.75">
      <c r="A88" s="161" t="s">
        <v>136</v>
      </c>
      <c r="B88" s="162">
        <v>19</v>
      </c>
      <c r="C88" s="163">
        <v>1.228125</v>
      </c>
      <c r="D88" s="163">
        <v>1.39218580318036</v>
      </c>
      <c r="E88" s="164">
        <v>0.3932</v>
      </c>
      <c r="F88" s="164">
        <v>0.0366040105382421</v>
      </c>
      <c r="G88" s="164">
        <v>0.0353114691493775</v>
      </c>
      <c r="H88" s="164">
        <v>0.283960946680037</v>
      </c>
      <c r="I88" s="164">
        <v>0.284568710396659</v>
      </c>
      <c r="J88" s="164">
        <v>0.303476315789474</v>
      </c>
      <c r="K88" s="164">
        <v>0.125161213873485</v>
      </c>
      <c r="L88" s="164">
        <v>0.0843803193113891</v>
      </c>
      <c r="M88" s="164">
        <v>0.0167718299048451</v>
      </c>
      <c r="N88" s="164">
        <v>1.35597851691322</v>
      </c>
      <c r="O88" s="164">
        <v>0.161500418449174</v>
      </c>
      <c r="P88" s="164">
        <v>0.118891175769656</v>
      </c>
      <c r="Q88" s="164">
        <v>0.014218829116384</v>
      </c>
      <c r="R88" s="163">
        <v>3.37245358537355</v>
      </c>
      <c r="S88" s="163">
        <v>0.842692135896812</v>
      </c>
    </row>
    <row r="89" spans="1:19" ht="12.75">
      <c r="A89" s="161" t="s">
        <v>104</v>
      </c>
      <c r="B89" s="162">
        <v>20</v>
      </c>
      <c r="C89" s="163">
        <v>1.71294117647059</v>
      </c>
      <c r="D89" s="163">
        <v>1.53391269676218</v>
      </c>
      <c r="E89" s="164">
        <v>0.442476470588235</v>
      </c>
      <c r="F89" s="164">
        <v>0.32175923278941</v>
      </c>
      <c r="G89" s="164">
        <v>0.243432559279633</v>
      </c>
      <c r="H89" s="164">
        <v>0.270253317780663</v>
      </c>
      <c r="I89" s="164">
        <v>0.215442774147074</v>
      </c>
      <c r="J89" s="164">
        <v>0.29145</v>
      </c>
      <c r="K89" s="164">
        <v>0.125322920842993</v>
      </c>
      <c r="L89" s="164">
        <v>0.0828938484581728</v>
      </c>
      <c r="M89" s="164">
        <v>0.0436296128436209</v>
      </c>
      <c r="N89" s="164">
        <v>1.87145378037193</v>
      </c>
      <c r="O89" s="164">
        <v>0.143333275227918</v>
      </c>
      <c r="P89" s="164">
        <v>0.0942743325596862</v>
      </c>
      <c r="Q89" s="164">
        <v>-0.13357688695031</v>
      </c>
      <c r="R89" s="163">
        <v>2.59902004979035</v>
      </c>
      <c r="S89" s="163">
        <v>0.549700176059407</v>
      </c>
    </row>
    <row r="90" spans="1:19" ht="12.75">
      <c r="A90" s="161" t="s">
        <v>218</v>
      </c>
      <c r="B90" s="162">
        <v>14</v>
      </c>
      <c r="C90" s="163">
        <v>1.95666666666667</v>
      </c>
      <c r="D90" s="163">
        <v>1.53504047861449</v>
      </c>
      <c r="E90" s="164">
        <v>0.490344444444444</v>
      </c>
      <c r="F90" s="164">
        <v>0.649573605778131</v>
      </c>
      <c r="G90" s="164">
        <v>0.393782734824807</v>
      </c>
      <c r="H90" s="164">
        <v>0.209567064092058</v>
      </c>
      <c r="I90" s="164">
        <v>0.19411540476911399</v>
      </c>
      <c r="J90" s="164">
        <v>0.298991428571429</v>
      </c>
      <c r="K90" s="164">
        <v>0.187835899858782</v>
      </c>
      <c r="L90" s="164">
        <v>0.144072277474694</v>
      </c>
      <c r="M90" s="164">
        <v>0.0567322203790826</v>
      </c>
      <c r="N90" s="164">
        <v>1.24023054612469</v>
      </c>
      <c r="O90" s="164">
        <v>0.154900003206387</v>
      </c>
      <c r="P90" s="164">
        <v>0.0634781986110117</v>
      </c>
      <c r="Q90" s="164">
        <v>-0.0804001286022834</v>
      </c>
      <c r="R90" s="163">
        <v>1.34734737432891</v>
      </c>
      <c r="S90" s="163">
        <v>0.594567996915291</v>
      </c>
    </row>
    <row r="91" spans="1:19" ht="12.75">
      <c r="A91" s="161" t="s">
        <v>3</v>
      </c>
      <c r="B91" s="162">
        <v>110</v>
      </c>
      <c r="C91" s="163">
        <v>1.487875</v>
      </c>
      <c r="D91" s="163">
        <v>1.86997639111462</v>
      </c>
      <c r="E91" s="164">
        <v>0.75070625</v>
      </c>
      <c r="F91" s="164">
        <v>0.127103539590026</v>
      </c>
      <c r="G91" s="164">
        <v>0.112770065149701</v>
      </c>
      <c r="H91" s="164">
        <v>0.353723088174795</v>
      </c>
      <c r="I91" s="164">
        <v>0.265766852918803</v>
      </c>
      <c r="J91" s="164">
        <v>0.120774382445141</v>
      </c>
      <c r="K91" s="164">
        <v>0.139669297218187</v>
      </c>
      <c r="L91" s="164">
        <v>0.106159919330693</v>
      </c>
      <c r="M91" s="164">
        <v>0.0280755170286552</v>
      </c>
      <c r="N91" s="164">
        <v>0.715968620913412</v>
      </c>
      <c r="O91" s="164">
        <v>0.00251660699902162</v>
      </c>
      <c r="P91" s="164">
        <v>0.130630513629002</v>
      </c>
      <c r="Q91" s="164">
        <v>-0.0729037904239326</v>
      </c>
      <c r="R91" s="163">
        <v>2.50345756283901</v>
      </c>
      <c r="S91" s="163">
        <v>0.903336062696016</v>
      </c>
    </row>
    <row r="92" spans="1:19" ht="12.75">
      <c r="A92" s="161" t="s">
        <v>546</v>
      </c>
      <c r="B92" s="162">
        <v>140</v>
      </c>
      <c r="C92" s="163">
        <v>1.4256</v>
      </c>
      <c r="D92" s="163">
        <v>1.05634600694537</v>
      </c>
      <c r="E92" s="164">
        <v>0.821364</v>
      </c>
      <c r="F92" s="164">
        <v>0.513197683194304</v>
      </c>
      <c r="G92" s="164">
        <v>0.339147811878064</v>
      </c>
      <c r="H92" s="164">
        <v>0.161754426032608</v>
      </c>
      <c r="I92" s="164">
        <v>0.222185136715045</v>
      </c>
      <c r="J92" s="164">
        <v>0.158962214285714</v>
      </c>
      <c r="K92" s="164">
        <v>0.397951054703086</v>
      </c>
      <c r="L92" s="164">
        <v>0.283758539425468</v>
      </c>
      <c r="M92" s="164">
        <v>0.0344824208506167</v>
      </c>
      <c r="N92" s="164">
        <v>1.90131715200082</v>
      </c>
      <c r="O92" s="164">
        <v>-0.10847778555067</v>
      </c>
      <c r="P92" s="164">
        <v>0.21105287579847</v>
      </c>
      <c r="Q92" s="164">
        <v>-0.014114776664678</v>
      </c>
      <c r="R92" s="163">
        <v>0.783007754286119</v>
      </c>
      <c r="S92" s="163">
        <v>1.68793200204437</v>
      </c>
    </row>
    <row r="93" spans="1:19" ht="12.75">
      <c r="A93" s="161" t="s">
        <v>438</v>
      </c>
      <c r="B93" s="162">
        <v>234</v>
      </c>
      <c r="C93" s="163">
        <v>0.660144927536232</v>
      </c>
      <c r="D93" s="163">
        <v>0.690234433773135</v>
      </c>
      <c r="E93" s="164">
        <v>0.316158088235294</v>
      </c>
      <c r="F93" s="164">
        <v>0.0971028737334387</v>
      </c>
      <c r="G93" s="164">
        <v>0.0885084489871017</v>
      </c>
      <c r="H93" s="164">
        <v>0.06688757779035</v>
      </c>
      <c r="I93" s="164" t="s">
        <v>433</v>
      </c>
      <c r="J93" s="164">
        <v>0.17044594017094</v>
      </c>
      <c r="K93" s="164" t="s">
        <v>433</v>
      </c>
      <c r="L93" s="164" t="s">
        <v>433</v>
      </c>
      <c r="M93" s="164" t="s">
        <v>433</v>
      </c>
      <c r="N93" s="164" t="s">
        <v>433</v>
      </c>
      <c r="O93" s="164" t="s">
        <v>433</v>
      </c>
      <c r="P93" s="164">
        <v>0.641555501852747</v>
      </c>
      <c r="Q93" s="164">
        <v>4.22328492712805</v>
      </c>
      <c r="R93" s="163" t="s">
        <v>433</v>
      </c>
      <c r="S93" s="163" t="s">
        <v>433</v>
      </c>
    </row>
    <row r="94" spans="1:19" ht="12.75">
      <c r="A94" s="161" t="s">
        <v>548</v>
      </c>
      <c r="B94" s="162">
        <v>12</v>
      </c>
      <c r="C94" s="163">
        <v>0.7125</v>
      </c>
      <c r="D94" s="163">
        <v>0.686844590419386</v>
      </c>
      <c r="E94" s="164">
        <v>0.296883333333333</v>
      </c>
      <c r="F94" s="164">
        <v>0.0884254846579631</v>
      </c>
      <c r="G94" s="164">
        <v>0.0812416521887585</v>
      </c>
      <c r="H94" s="164">
        <v>0.704343924275122</v>
      </c>
      <c r="I94" s="164">
        <v>0.326435980645726</v>
      </c>
      <c r="J94" s="164">
        <v>0.202496666666667</v>
      </c>
      <c r="K94" s="164">
        <v>0.0967599594374207</v>
      </c>
      <c r="L94" s="164">
        <v>0.0665775478587907</v>
      </c>
      <c r="M94" s="164">
        <v>0.0300094262694972</v>
      </c>
      <c r="N94" s="164">
        <v>3.31234995998933</v>
      </c>
      <c r="O94" s="164">
        <v>0.00778146387700199</v>
      </c>
      <c r="P94" s="164">
        <v>0.320920094648708</v>
      </c>
      <c r="Q94" s="164">
        <v>0.243037936869534</v>
      </c>
      <c r="R94" s="163">
        <v>4.90309407817316</v>
      </c>
      <c r="S94" s="163">
        <v>1.47109741988542</v>
      </c>
    </row>
    <row r="95" spans="1:19" ht="12.75">
      <c r="A95" s="161" t="s">
        <v>339</v>
      </c>
      <c r="B95" s="162">
        <v>23</v>
      </c>
      <c r="C95" s="163">
        <v>0.952631578947368</v>
      </c>
      <c r="D95" s="163">
        <v>0.792023575288303</v>
      </c>
      <c r="E95" s="164">
        <v>0.517033333333333</v>
      </c>
      <c r="F95" s="164">
        <v>0.385047034586499</v>
      </c>
      <c r="G95" s="164">
        <v>0.278002858366072</v>
      </c>
      <c r="H95" s="164">
        <v>0.984086242299795</v>
      </c>
      <c r="I95" s="164">
        <v>0.231067578200375</v>
      </c>
      <c r="J95" s="164">
        <v>0.232778260869565</v>
      </c>
      <c r="K95" s="164">
        <v>0.120349662437386</v>
      </c>
      <c r="L95" s="164">
        <v>0.0796636686299156</v>
      </c>
      <c r="M95" s="164">
        <v>0.0303997159463285</v>
      </c>
      <c r="N95" s="164">
        <v>1.17560015241966</v>
      </c>
      <c r="O95" s="164">
        <v>0.0854019309676574</v>
      </c>
      <c r="P95" s="164">
        <v>0.167224830464267</v>
      </c>
      <c r="Q95" s="164">
        <v>0.0077512034221907</v>
      </c>
      <c r="R95" s="163">
        <v>2.90053900572694</v>
      </c>
      <c r="S95" s="163">
        <v>0.978750727970493</v>
      </c>
    </row>
    <row r="96" spans="1:19" ht="12.75">
      <c r="A96" s="161" t="s">
        <v>518</v>
      </c>
      <c r="B96" s="162">
        <v>33</v>
      </c>
      <c r="C96" s="163">
        <v>1.1671875</v>
      </c>
      <c r="D96" s="163">
        <v>0.664949704218651</v>
      </c>
      <c r="E96" s="164">
        <v>0.388492307692308</v>
      </c>
      <c r="F96" s="164">
        <v>1.26801676321952</v>
      </c>
      <c r="G96" s="164">
        <v>0.559086151294373</v>
      </c>
      <c r="H96" s="164">
        <v>0.120312055288374</v>
      </c>
      <c r="I96" s="164">
        <v>0.12671061426566</v>
      </c>
      <c r="J96" s="164">
        <v>0.331856666666667</v>
      </c>
      <c r="K96" s="164">
        <v>0.132754252128098</v>
      </c>
      <c r="L96" s="164">
        <v>0.0854050808552979</v>
      </c>
      <c r="M96" s="164">
        <v>0.00951253910039758</v>
      </c>
      <c r="N96" s="164">
        <v>6.82724590497507</v>
      </c>
      <c r="O96" s="164">
        <v>0.0526816043814709</v>
      </c>
      <c r="P96" s="164">
        <v>0.080586861579522</v>
      </c>
      <c r="Q96" s="164">
        <v>1.70958158089396</v>
      </c>
      <c r="R96" s="163">
        <v>1.48364257719451</v>
      </c>
      <c r="S96" s="163">
        <v>0.748605743830208</v>
      </c>
    </row>
    <row r="97" spans="1:19" ht="12.75">
      <c r="A97" s="161" t="s">
        <v>380</v>
      </c>
      <c r="B97" s="162">
        <v>5</v>
      </c>
      <c r="C97" s="163">
        <v>1.226</v>
      </c>
      <c r="D97" s="163">
        <v>0.845856000990403</v>
      </c>
      <c r="E97" s="164">
        <v>0.28014</v>
      </c>
      <c r="F97" s="164">
        <v>0.628185442928255</v>
      </c>
      <c r="G97" s="164">
        <v>0.385819346104997</v>
      </c>
      <c r="H97" s="164">
        <v>0.0388683922591254</v>
      </c>
      <c r="I97" s="164">
        <v>0.0992587313828738</v>
      </c>
      <c r="J97" s="164">
        <v>0.150066</v>
      </c>
      <c r="K97" s="164">
        <v>0.152926284004049</v>
      </c>
      <c r="L97" s="164">
        <v>0.0946919281603406</v>
      </c>
      <c r="M97" s="164">
        <v>0.000111657802817175</v>
      </c>
      <c r="N97" s="164">
        <v>1.43729980331554</v>
      </c>
      <c r="O97" s="164">
        <v>0.0462141936486129</v>
      </c>
      <c r="P97" s="164">
        <v>0</v>
      </c>
      <c r="Q97" s="164">
        <v>4.37655579304302E-05</v>
      </c>
      <c r="R97" s="163">
        <v>1.04822800962296</v>
      </c>
      <c r="S97" s="163">
        <v>0.904761962555799</v>
      </c>
    </row>
    <row r="98" spans="1:19" ht="12.75">
      <c r="A98" s="161" t="s">
        <v>413</v>
      </c>
      <c r="B98" s="162">
        <v>16</v>
      </c>
      <c r="C98" s="163">
        <v>0.860714285714286</v>
      </c>
      <c r="D98" s="163">
        <v>0.565898733947475</v>
      </c>
      <c r="E98" s="164">
        <v>0.358723076923077</v>
      </c>
      <c r="F98" s="164">
        <v>0.827945073074808</v>
      </c>
      <c r="G98" s="164">
        <v>0.4529376102544</v>
      </c>
      <c r="H98" s="164">
        <v>0.00630997608411711</v>
      </c>
      <c r="I98" s="164">
        <v>0.0811000253667807</v>
      </c>
      <c r="J98" s="164">
        <v>0.354591875</v>
      </c>
      <c r="K98" s="164">
        <v>0.404457792406213</v>
      </c>
      <c r="L98" s="164">
        <v>0.259304694301604</v>
      </c>
      <c r="M98" s="164">
        <v>0.0363101422198165</v>
      </c>
      <c r="N98" s="164">
        <v>2.6228152309613</v>
      </c>
      <c r="O98" s="164">
        <v>0.0168236701268541</v>
      </c>
      <c r="P98" s="164">
        <v>2.74146502835539</v>
      </c>
      <c r="Q98" s="164">
        <v>0.184184782259836</v>
      </c>
      <c r="R98" s="163">
        <v>0.312759572614799</v>
      </c>
      <c r="S98" s="163">
        <v>3.7971381426738</v>
      </c>
    </row>
    <row r="99" spans="1:19" ht="12.75">
      <c r="A99" s="161" t="s">
        <v>270</v>
      </c>
      <c r="B99" s="162">
        <v>57</v>
      </c>
      <c r="C99" s="163">
        <v>1.53805555555556</v>
      </c>
      <c r="D99" s="163">
        <v>1.27922167556108</v>
      </c>
      <c r="E99" s="164">
        <v>0.584083333333333</v>
      </c>
      <c r="F99" s="164">
        <v>0.363718623373025</v>
      </c>
      <c r="G99" s="164">
        <v>0.266710901456638</v>
      </c>
      <c r="H99" s="164">
        <v>0.078499318749933</v>
      </c>
      <c r="I99" s="164">
        <v>0.102091929643746</v>
      </c>
      <c r="J99" s="164">
        <v>0.140828596491228</v>
      </c>
      <c r="K99" s="164">
        <v>0.182824016167417</v>
      </c>
      <c r="L99" s="164">
        <v>0.116281932412501</v>
      </c>
      <c r="M99" s="164">
        <v>0.0352099127857265</v>
      </c>
      <c r="N99" s="164">
        <v>0.829612085814804</v>
      </c>
      <c r="O99" s="164">
        <v>0.0690766972581657</v>
      </c>
      <c r="P99" s="164">
        <v>0.0152612637237484</v>
      </c>
      <c r="Q99" s="164">
        <v>-0.327715057944081</v>
      </c>
      <c r="R99" s="163">
        <v>0.877968980439566</v>
      </c>
      <c r="S99" s="163">
        <v>2.3609684062019</v>
      </c>
    </row>
    <row r="100" spans="1:19" ht="12.75">
      <c r="A100" s="161" t="s">
        <v>229</v>
      </c>
      <c r="B100" s="162">
        <v>10</v>
      </c>
      <c r="C100" s="163">
        <v>2.084</v>
      </c>
      <c r="D100" s="163">
        <v>0.484539000114653</v>
      </c>
      <c r="E100" s="164">
        <v>0.45586</v>
      </c>
      <c r="F100" s="164">
        <v>3.91145581961042</v>
      </c>
      <c r="G100" s="164">
        <v>0.796394381477034</v>
      </c>
      <c r="H100" s="164">
        <v>0.177228061982687</v>
      </c>
      <c r="I100" s="164">
        <v>0.064587942895923</v>
      </c>
      <c r="J100" s="164">
        <v>0.067046</v>
      </c>
      <c r="K100" s="164">
        <v>0.532856804128108</v>
      </c>
      <c r="L100" s="164">
        <v>0.475671786259542</v>
      </c>
      <c r="M100" s="164">
        <v>0.228956458697599</v>
      </c>
      <c r="N100" s="164">
        <v>0.156615661566157</v>
      </c>
      <c r="O100" s="164">
        <v>0.331075952066186</v>
      </c>
      <c r="P100" s="164">
        <v>0.23459121355398</v>
      </c>
      <c r="Q100" s="164">
        <v>0.00729075414472703</v>
      </c>
      <c r="R100" s="163">
        <v>0.135782581102428</v>
      </c>
      <c r="S100" s="163">
        <v>4.01473836837392</v>
      </c>
    </row>
    <row r="101" spans="1:19" ht="12.75">
      <c r="A101" s="161" t="s">
        <v>230</v>
      </c>
      <c r="B101" s="162">
        <v>6</v>
      </c>
      <c r="C101" s="163">
        <v>1.40666666666667</v>
      </c>
      <c r="D101" s="163">
        <v>1.0202910870497</v>
      </c>
      <c r="E101" s="164">
        <v>0.2993</v>
      </c>
      <c r="F101" s="164">
        <v>0.67251255953546</v>
      </c>
      <c r="G101" s="164">
        <v>0.402097165549687</v>
      </c>
      <c r="H101" s="164">
        <v>0.15042986040177</v>
      </c>
      <c r="I101" s="164">
        <v>0.116748529584898</v>
      </c>
      <c r="J101" s="164">
        <v>0.332623333333333</v>
      </c>
      <c r="K101" s="164">
        <v>0.208180778032037</v>
      </c>
      <c r="L101" s="164">
        <v>0.131615933867277</v>
      </c>
      <c r="M101" s="164">
        <v>0.0296453089244851</v>
      </c>
      <c r="N101" s="164">
        <v>1.16525634644102</v>
      </c>
      <c r="O101" s="164">
        <v>0.00963386727688787</v>
      </c>
      <c r="P101" s="164">
        <v>0.178344886122507</v>
      </c>
      <c r="Q101" s="164">
        <v>0.0169998887282704</v>
      </c>
      <c r="R101" s="163">
        <v>0.887039480361311</v>
      </c>
      <c r="S101" s="163">
        <v>1.39552631578947</v>
      </c>
    </row>
    <row r="102" spans="1:19" ht="12.75">
      <c r="A102" s="165" t="s">
        <v>545</v>
      </c>
      <c r="B102" s="166">
        <v>6870</v>
      </c>
      <c r="C102" s="167">
        <v>1.18841305826344</v>
      </c>
      <c r="D102" s="167">
        <v>0.931280704185445</v>
      </c>
      <c r="E102" s="164">
        <v>0.56567703100249</v>
      </c>
      <c r="F102" s="168">
        <v>0.488065043253899</v>
      </c>
      <c r="G102" s="168">
        <v>0.327986364216088</v>
      </c>
      <c r="H102" s="168">
        <v>0.206446142350028</v>
      </c>
      <c r="I102" s="168">
        <v>0.177274773206899</v>
      </c>
      <c r="J102" s="168">
        <v>0.166728956334594</v>
      </c>
      <c r="K102" s="168">
        <v>0.20774423713036</v>
      </c>
      <c r="L102" s="168">
        <v>0.146083582127008</v>
      </c>
      <c r="M102" s="168">
        <v>0.0343821996614249</v>
      </c>
      <c r="N102" s="164">
        <v>1.58900314384287</v>
      </c>
      <c r="O102" s="164">
        <v>0.0907446552043666</v>
      </c>
      <c r="P102" s="168">
        <v>0.162247205511508</v>
      </c>
      <c r="Q102" s="168">
        <v>-0.309008151053168</v>
      </c>
      <c r="R102" s="163">
        <v>1.21351606132421</v>
      </c>
      <c r="S102" s="167">
        <v>1.27562227258131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8"/>
  <sheetViews>
    <sheetView tabSelected="1" zoomScale="125" zoomScaleNormal="125" workbookViewId="0" topLeftCell="A1">
      <selection activeCell="B30" sqref="B30"/>
    </sheetView>
  </sheetViews>
  <sheetFormatPr defaultColWidth="11.00390625" defaultRowHeight="12.75"/>
  <cols>
    <col min="1" max="1" width="49.875" style="0" bestFit="1" customWidth="1"/>
    <col min="2" max="2" width="11.375" style="0" bestFit="1" customWidth="1"/>
    <col min="4" max="4" width="11.00390625" style="0" bestFit="1" customWidth="1"/>
  </cols>
  <sheetData>
    <row r="1" s="117" customFormat="1" ht="12.75">
      <c r="A1" s="117" t="s">
        <v>409</v>
      </c>
    </row>
    <row r="2" s="117" customFormat="1" ht="12.75">
      <c r="A2" s="117" t="s">
        <v>187</v>
      </c>
    </row>
    <row r="3" s="24" customFormat="1" ht="18">
      <c r="A3" s="24" t="s">
        <v>87</v>
      </c>
    </row>
    <row r="4" spans="1:4" s="4" customFormat="1" ht="12.75">
      <c r="A4" s="4" t="s">
        <v>123</v>
      </c>
      <c r="B4" s="83" t="s">
        <v>117</v>
      </c>
      <c r="C4" s="4" t="s">
        <v>124</v>
      </c>
      <c r="D4" s="4" t="s">
        <v>333</v>
      </c>
    </row>
    <row r="5" spans="1:4" s="4" customFormat="1" ht="12.75">
      <c r="A5" s="4" t="s">
        <v>521</v>
      </c>
      <c r="B5" s="83" t="s">
        <v>194</v>
      </c>
      <c r="C5" s="4" t="s">
        <v>124</v>
      </c>
      <c r="D5" s="4" t="s">
        <v>553</v>
      </c>
    </row>
    <row r="6" spans="1:4" s="4" customFormat="1" ht="12.75">
      <c r="A6" s="4" t="s">
        <v>520</v>
      </c>
      <c r="B6" s="83" t="s">
        <v>403</v>
      </c>
      <c r="D6" s="4" t="s">
        <v>53</v>
      </c>
    </row>
    <row r="8" s="4" customFormat="1" ht="15.75">
      <c r="A8" s="53" t="s">
        <v>141</v>
      </c>
    </row>
    <row r="9" s="4" customFormat="1" ht="12.75">
      <c r="A9" s="7" t="s">
        <v>149</v>
      </c>
    </row>
    <row r="10" spans="1:3" s="4" customFormat="1" ht="12.75">
      <c r="A10" s="4" t="s">
        <v>144</v>
      </c>
      <c r="B10" s="170">
        <f>10790+6737</f>
        <v>17527</v>
      </c>
      <c r="C10" s="129" t="s">
        <v>69</v>
      </c>
    </row>
    <row r="11" spans="1:3" s="4" customFormat="1" ht="12.75">
      <c r="A11" s="4" t="s">
        <v>241</v>
      </c>
      <c r="B11" s="170">
        <v>6737</v>
      </c>
      <c r="C11" s="129"/>
    </row>
    <row r="12" spans="1:3" s="4" customFormat="1" ht="12.75">
      <c r="A12" s="4" t="s">
        <v>423</v>
      </c>
      <c r="B12" s="170">
        <f>40291</f>
        <v>40291</v>
      </c>
      <c r="C12" s="129"/>
    </row>
    <row r="13" spans="1:3" s="4" customFormat="1" ht="12.75">
      <c r="A13" s="4" t="s">
        <v>364</v>
      </c>
      <c r="B13" s="170">
        <v>8701</v>
      </c>
      <c r="C13" s="129"/>
    </row>
    <row r="14" spans="1:3" s="4" customFormat="1" ht="12.75">
      <c r="A14" s="4" t="s">
        <v>345</v>
      </c>
      <c r="B14" s="145">
        <v>0.21</v>
      </c>
      <c r="C14" s="129"/>
    </row>
    <row r="15" spans="1:3" s="4" customFormat="1" ht="12.75">
      <c r="A15" s="4" t="s">
        <v>496</v>
      </c>
      <c r="B15" s="81">
        <v>0.3399</v>
      </c>
      <c r="C15" s="129" t="s">
        <v>204</v>
      </c>
    </row>
    <row r="16" spans="1:3" s="4" customFormat="1" ht="12.75">
      <c r="A16" s="4" t="s">
        <v>220</v>
      </c>
      <c r="B16" s="170">
        <v>265868</v>
      </c>
      <c r="C16" s="171">
        <v>292226</v>
      </c>
    </row>
    <row r="17" spans="1:3" s="4" customFormat="1" ht="12.75">
      <c r="A17" s="4" t="s">
        <v>221</v>
      </c>
      <c r="B17" s="170">
        <f>(47648+22298+15552-89583)</f>
        <v>-4085</v>
      </c>
      <c r="C17" s="172"/>
    </row>
    <row r="18" spans="1:3" s="4" customFormat="1" ht="12.75">
      <c r="A18" s="4" t="s">
        <v>86</v>
      </c>
      <c r="B18" s="170">
        <f>B17-(44095+24218+11307-86437)</f>
        <v>2732</v>
      </c>
      <c r="C18" s="173" t="s">
        <v>204</v>
      </c>
    </row>
    <row r="19" spans="1:3" s="4" customFormat="1" ht="12.75">
      <c r="A19" s="4" t="s">
        <v>355</v>
      </c>
      <c r="B19" s="170">
        <v>131657</v>
      </c>
      <c r="C19" s="171">
        <v>62805</v>
      </c>
    </row>
    <row r="20" spans="1:3" s="4" customFormat="1" ht="12.75">
      <c r="A20" s="4" t="s">
        <v>473</v>
      </c>
      <c r="B20" s="170">
        <v>122301</v>
      </c>
      <c r="C20" s="171">
        <v>78395</v>
      </c>
    </row>
    <row r="21" spans="2:3" s="4" customFormat="1" ht="12.75">
      <c r="B21" s="130"/>
      <c r="C21" s="131"/>
    </row>
    <row r="22" spans="1:3" s="4" customFormat="1" ht="12.75">
      <c r="A22" s="4" t="s">
        <v>283</v>
      </c>
      <c r="B22" s="174">
        <v>11418</v>
      </c>
      <c r="C22" s="175">
        <v>23973</v>
      </c>
    </row>
    <row r="23" spans="1:9" s="4" customFormat="1" ht="20.25">
      <c r="A23" s="4" t="s">
        <v>311</v>
      </c>
      <c r="B23" s="174">
        <f>129681-'Cross Holdings Valuation'!C13+'Cross Holdings Valuation'!E13</f>
        <v>140575.98446</v>
      </c>
      <c r="C23" s="175">
        <v>49103</v>
      </c>
      <c r="E23" s="66"/>
      <c r="I23" s="144">
        <f>10%+0.88*(4%)+0.27*(3.66%)</f>
        <v>0.14508200000000002</v>
      </c>
    </row>
    <row r="24" spans="1:2" s="4" customFormat="1" ht="12.75">
      <c r="A24" s="4" t="s">
        <v>217</v>
      </c>
      <c r="B24" s="182">
        <v>0</v>
      </c>
    </row>
    <row r="25" spans="1:9" s="4" customFormat="1" ht="20.25">
      <c r="A25" s="4" t="s">
        <v>501</v>
      </c>
      <c r="B25" s="142">
        <v>2.1</v>
      </c>
      <c r="I25" s="144">
        <f>14.51%*(0.7884)+11.7%*(1-0.34)*(0.2116)</f>
        <v>0.13073659199999998</v>
      </c>
    </row>
    <row r="26" spans="1:2" s="7" customFormat="1" ht="12.75">
      <c r="A26" s="7" t="s">
        <v>238</v>
      </c>
      <c r="B26" s="93"/>
    </row>
    <row r="27" spans="1:6" s="4" customFormat="1" ht="12.75">
      <c r="A27" s="4" t="s">
        <v>336</v>
      </c>
      <c r="B27" s="80" t="s">
        <v>29</v>
      </c>
      <c r="D27" s="4" t="s">
        <v>268</v>
      </c>
      <c r="F27" s="83">
        <v>3</v>
      </c>
    </row>
    <row r="28" spans="1:2" s="8" customFormat="1" ht="12.75">
      <c r="A28" s="8" t="s">
        <v>461</v>
      </c>
      <c r="B28" s="94"/>
    </row>
    <row r="29" spans="1:4" s="4" customFormat="1" ht="12.75">
      <c r="A29" s="4" t="s">
        <v>479</v>
      </c>
      <c r="B29" s="174">
        <v>780.5</v>
      </c>
      <c r="D29" s="143"/>
    </row>
    <row r="30" spans="1:4" s="4" customFormat="1" ht="12.75">
      <c r="A30" s="4" t="s">
        <v>116</v>
      </c>
      <c r="B30" s="183">
        <v>413.053</v>
      </c>
      <c r="D30"/>
    </row>
    <row r="31" spans="1:4" s="4" customFormat="1" ht="12.75">
      <c r="A31" s="4" t="s">
        <v>534</v>
      </c>
      <c r="B31" s="174">
        <f>B11*(1-(1+B46)^-F27)/B46+B19/(1+B46)^F27</f>
        <v>109197.99095987178</v>
      </c>
      <c r="D31"/>
    </row>
    <row r="32" spans="1:4" s="8" customFormat="1" ht="12.75">
      <c r="A32" s="8" t="s">
        <v>371</v>
      </c>
      <c r="B32" s="94"/>
      <c r="D32"/>
    </row>
    <row r="33" spans="1:2" s="4" customFormat="1" ht="12.75">
      <c r="A33" s="4" t="s">
        <v>236</v>
      </c>
      <c r="B33" s="80" t="s">
        <v>117</v>
      </c>
    </row>
    <row r="34" spans="1:2" s="4" customFormat="1" ht="12.75">
      <c r="A34" s="4" t="s">
        <v>237</v>
      </c>
      <c r="B34" s="120">
        <v>0.35</v>
      </c>
    </row>
    <row r="35" s="4" customFormat="1" ht="12.75">
      <c r="B35" s="85"/>
    </row>
    <row r="36" spans="1:2" s="4" customFormat="1" ht="12.75">
      <c r="A36" s="8" t="s">
        <v>7</v>
      </c>
      <c r="B36" s="85"/>
    </row>
    <row r="37" spans="1:2" s="4" customFormat="1" ht="12.75">
      <c r="A37" s="4" t="s">
        <v>205</v>
      </c>
      <c r="B37" s="84">
        <v>0.05</v>
      </c>
    </row>
    <row r="38" spans="1:2" s="4" customFormat="1" ht="12.75">
      <c r="A38" s="4" t="s">
        <v>130</v>
      </c>
      <c r="B38" s="84">
        <v>0.045</v>
      </c>
    </row>
    <row r="39" spans="1:2" s="4" customFormat="1" ht="12.75">
      <c r="A39" s="4" t="s">
        <v>500</v>
      </c>
      <c r="B39" s="127">
        <v>0.045</v>
      </c>
    </row>
    <row r="40" spans="1:3" s="4" customFormat="1" ht="12.75">
      <c r="A40" s="4" t="s">
        <v>148</v>
      </c>
      <c r="B40" s="132">
        <v>1</v>
      </c>
      <c r="C40" s="132">
        <v>1</v>
      </c>
    </row>
    <row r="41" spans="1:3" s="4" customFormat="1" ht="12.75">
      <c r="A41" s="4" t="s">
        <v>50</v>
      </c>
      <c r="B41" s="132">
        <v>1</v>
      </c>
      <c r="C41" s="136"/>
    </row>
    <row r="42" s="4" customFormat="1" ht="12.75">
      <c r="A42" s="8" t="s">
        <v>60</v>
      </c>
    </row>
    <row r="43" spans="1:3" s="4" customFormat="1" ht="12.75">
      <c r="A43" s="4" t="s">
        <v>306</v>
      </c>
      <c r="B43" s="83" t="s">
        <v>301</v>
      </c>
      <c r="C43" s="4" t="s">
        <v>202</v>
      </c>
    </row>
    <row r="44" spans="1:2" s="4" customFormat="1" ht="12.75">
      <c r="A44" s="4" t="s">
        <v>430</v>
      </c>
      <c r="B44" s="83">
        <v>2</v>
      </c>
    </row>
    <row r="45" spans="1:2" s="4" customFormat="1" ht="12.75">
      <c r="A45" s="4" t="s">
        <v>544</v>
      </c>
      <c r="B45" s="83" t="s">
        <v>163</v>
      </c>
    </row>
    <row r="46" spans="1:2" s="4" customFormat="1" ht="12.75">
      <c r="A46" s="4" t="s">
        <v>354</v>
      </c>
      <c r="B46" s="84">
        <v>0.1225</v>
      </c>
    </row>
    <row r="48" s="8" customFormat="1" ht="12.75">
      <c r="A48" s="8" t="s">
        <v>234</v>
      </c>
    </row>
    <row r="49" spans="1:2" s="4" customFormat="1" ht="12.75">
      <c r="A49" s="4" t="s">
        <v>118</v>
      </c>
      <c r="B49" s="83" t="s">
        <v>301</v>
      </c>
    </row>
    <row r="50" spans="1:2" s="4" customFormat="1" ht="12.75">
      <c r="A50" s="4" t="s">
        <v>109</v>
      </c>
      <c r="B50" s="90">
        <v>2.23</v>
      </c>
    </row>
    <row r="51" spans="1:2" s="4" customFormat="1" ht="12.75">
      <c r="A51" s="4" t="s">
        <v>110</v>
      </c>
      <c r="B51" s="133">
        <v>13.85</v>
      </c>
    </row>
    <row r="52" spans="1:2" s="4" customFormat="1" ht="12.75">
      <c r="A52" s="4" t="s">
        <v>435</v>
      </c>
      <c r="B52" s="83">
        <v>1.5</v>
      </c>
    </row>
    <row r="53" spans="1:2" s="4" customFormat="1" ht="12.75">
      <c r="A53" s="4" t="s">
        <v>492</v>
      </c>
      <c r="B53" s="86">
        <v>0.3</v>
      </c>
    </row>
    <row r="54" spans="1:2" s="4" customFormat="1" ht="12.75">
      <c r="A54" s="4" t="s">
        <v>176</v>
      </c>
      <c r="B54" s="83" t="s">
        <v>177</v>
      </c>
    </row>
    <row r="55" s="4" customFormat="1" ht="12.75">
      <c r="B55" s="123"/>
    </row>
    <row r="56" s="7" customFormat="1" ht="12.75">
      <c r="A56" s="7" t="s">
        <v>460</v>
      </c>
    </row>
    <row r="57" s="8" customFormat="1" ht="12.75">
      <c r="A57" s="8" t="s">
        <v>415</v>
      </c>
    </row>
    <row r="58" spans="1:2" s="4" customFormat="1" ht="12.75">
      <c r="A58" s="4" t="s">
        <v>228</v>
      </c>
      <c r="B58" s="83">
        <v>10</v>
      </c>
    </row>
    <row r="59" spans="1:2" s="4" customFormat="1" ht="12.75">
      <c r="A59" s="4" t="s">
        <v>113</v>
      </c>
      <c r="B59" s="83">
        <v>1.2</v>
      </c>
    </row>
    <row r="60" spans="1:2" s="4" customFormat="1" ht="12.75">
      <c r="A60" s="4" t="s">
        <v>347</v>
      </c>
      <c r="B60" s="83">
        <v>0.8</v>
      </c>
    </row>
    <row r="61" spans="1:2" s="4" customFormat="1" ht="12.75">
      <c r="A61" s="4" t="s">
        <v>12</v>
      </c>
      <c r="B61" s="83" t="s">
        <v>29</v>
      </c>
    </row>
    <row r="62" spans="1:2" s="4" customFormat="1" ht="12.75">
      <c r="A62" s="4" t="s">
        <v>1</v>
      </c>
      <c r="B62" s="98">
        <f>IF(B27="Yes",IF(B5="Yes",1-(B29*B30+'Valuation Model'!F72)/(B31+B29*B30+'Valuation Model'!F72+'Operating lease converter'!C30),1-(B29*B30)/(B31+B29*B30)),IF(B33="Yes",B19/(B19+B20),B34))</f>
        <v>0.25301568406936237</v>
      </c>
    </row>
    <row r="63" spans="1:2" s="4" customFormat="1" ht="12.75">
      <c r="A63" s="4" t="s">
        <v>100</v>
      </c>
      <c r="B63" s="100">
        <f>7%</f>
        <v>0.07</v>
      </c>
    </row>
    <row r="64" spans="1:2" s="4" customFormat="1" ht="12.75">
      <c r="A64" s="4" t="s">
        <v>421</v>
      </c>
      <c r="B64" s="83" t="s">
        <v>169</v>
      </c>
    </row>
    <row r="65" spans="1:2" s="4" customFormat="1" ht="12.75">
      <c r="A65" s="4" t="s">
        <v>533</v>
      </c>
      <c r="B65" s="100">
        <f>B17/B16</f>
        <v>-0.015364767478598402</v>
      </c>
    </row>
    <row r="66" spans="1:2" s="4" customFormat="1" ht="12.75">
      <c r="A66" s="4" t="s">
        <v>390</v>
      </c>
      <c r="B66" s="184">
        <v>0.045</v>
      </c>
    </row>
    <row r="67" spans="1:2" s="4" customFormat="1" ht="12.75">
      <c r="A67" s="4" t="s">
        <v>517</v>
      </c>
      <c r="B67" s="83" t="s">
        <v>404</v>
      </c>
    </row>
    <row r="68" spans="1:2" s="4" customFormat="1" ht="12.75">
      <c r="A68" s="4" t="s">
        <v>27</v>
      </c>
      <c r="B68" s="86">
        <v>0.12</v>
      </c>
    </row>
    <row r="69" spans="1:2" s="4" customFormat="1" ht="12.75">
      <c r="A69" s="4" t="s">
        <v>94</v>
      </c>
      <c r="B69" s="9"/>
    </row>
    <row r="70" spans="1:2" s="4" customFormat="1" ht="12.75">
      <c r="A70" s="4" t="s">
        <v>131</v>
      </c>
      <c r="B70" s="98">
        <f>IF('Master Inputs Start here'!B4="Yes",('Valuation Model'!D4*(1-'Valuation Model'!D8)+'R&amp;D converter'!D40)/('Valuation Model'!D15),('Valuation Model'!D4*(1-'Valuation Model'!D8))/('Valuation Model'!D15))</f>
        <v>0.17160478996251566</v>
      </c>
    </row>
    <row r="71" spans="1:2" s="4" customFormat="1" ht="12.75">
      <c r="A71" s="4" t="s">
        <v>43</v>
      </c>
      <c r="B71" s="98">
        <f>IF('Master Inputs Start here'!B4="Yes",('Valuation Model'!D6-'Valuation Model'!D7+'Valuation Model'!D12)/'Valuation Model'!C46,('Valuation Model'!E6-'Valuation Model'!E7+'Valuation Model'!E12)/'Valuation Model'!C46)</f>
        <v>1.706143398152862</v>
      </c>
    </row>
    <row r="72" spans="1:2" s="4" customFormat="1" ht="12.75">
      <c r="A72" s="4" t="s">
        <v>182</v>
      </c>
      <c r="B72" s="83" t="s">
        <v>169</v>
      </c>
    </row>
    <row r="73" spans="1:2" s="4" customFormat="1" ht="12.75">
      <c r="A73" s="4" t="s">
        <v>131</v>
      </c>
      <c r="B73" s="84">
        <f>B70</f>
        <v>0.17160478996251566</v>
      </c>
    </row>
    <row r="74" spans="1:2" s="4" customFormat="1" ht="12.75">
      <c r="A74" s="4" t="s">
        <v>43</v>
      </c>
      <c r="B74" s="84">
        <v>0.7</v>
      </c>
    </row>
    <row r="75" s="4" customFormat="1" ht="12.75">
      <c r="B75" s="114"/>
    </row>
    <row r="76" spans="1:2" s="4" customFormat="1" ht="12.75">
      <c r="A76" s="4" t="s">
        <v>62</v>
      </c>
      <c r="B76" s="84" t="s">
        <v>541</v>
      </c>
    </row>
    <row r="77" s="4" customFormat="1" ht="12.75">
      <c r="B77" s="97"/>
    </row>
    <row r="78" spans="1:2" s="8" customFormat="1" ht="12.75">
      <c r="A78" s="8" t="s">
        <v>362</v>
      </c>
      <c r="B78" s="17"/>
    </row>
    <row r="79" spans="1:2" s="4" customFormat="1" ht="12.75">
      <c r="A79" s="4" t="s">
        <v>245</v>
      </c>
      <c r="B79" s="84">
        <v>0.05</v>
      </c>
    </row>
    <row r="80" spans="1:2" s="4" customFormat="1" ht="12.75">
      <c r="A80" s="18" t="s">
        <v>80</v>
      </c>
      <c r="B80" s="90">
        <v>1</v>
      </c>
    </row>
    <row r="81" spans="1:2" s="4" customFormat="1" ht="12.75">
      <c r="A81" s="18" t="s">
        <v>470</v>
      </c>
      <c r="B81" s="84">
        <v>0.03</v>
      </c>
    </row>
    <row r="82" spans="1:2" s="4" customFormat="1" ht="12.75">
      <c r="A82" s="4" t="s">
        <v>422</v>
      </c>
      <c r="B82" s="84">
        <f>B62</f>
        <v>0.25301568406936237</v>
      </c>
    </row>
    <row r="83" spans="1:2" s="4" customFormat="1" ht="12.75">
      <c r="A83" s="4" t="s">
        <v>57</v>
      </c>
      <c r="B83" s="84">
        <v>0.09</v>
      </c>
    </row>
    <row r="84" spans="1:2" s="4" customFormat="1" ht="12.75">
      <c r="A84" s="4" t="s">
        <v>184</v>
      </c>
      <c r="B84" s="84">
        <f>B15</f>
        <v>0.3399</v>
      </c>
    </row>
    <row r="85" spans="1:2" s="8" customFormat="1" ht="12" customHeight="1">
      <c r="A85" s="8" t="s">
        <v>147</v>
      </c>
      <c r="B85" s="17"/>
    </row>
    <row r="86" spans="1:2" s="4" customFormat="1" ht="12" customHeight="1">
      <c r="A86" s="4" t="s">
        <v>535</v>
      </c>
      <c r="B86" s="91" t="s">
        <v>29</v>
      </c>
    </row>
    <row r="87" spans="1:2" s="4" customFormat="1" ht="12" customHeight="1">
      <c r="A87" s="4" t="s">
        <v>63</v>
      </c>
      <c r="B87" s="184">
        <v>0.12</v>
      </c>
    </row>
    <row r="88" spans="1:3" s="4" customFormat="1" ht="12" customHeight="1">
      <c r="A88" s="4" t="s">
        <v>509</v>
      </c>
      <c r="B88" s="86">
        <v>1.2</v>
      </c>
      <c r="C88" s="9" t="s">
        <v>425</v>
      </c>
    </row>
  </sheetData>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H19"/>
  <sheetViews>
    <sheetView workbookViewId="0" topLeftCell="A1">
      <selection activeCell="F13" sqref="F13"/>
    </sheetView>
  </sheetViews>
  <sheetFormatPr defaultColWidth="11.00390625" defaultRowHeight="12.75"/>
  <cols>
    <col min="1" max="1" width="14.125" style="0" bestFit="1" customWidth="1"/>
  </cols>
  <sheetData>
    <row r="1" spans="1:7" ht="12.75">
      <c r="A1" s="146"/>
      <c r="B1" s="146">
        <v>2005</v>
      </c>
      <c r="C1" s="138">
        <v>2006</v>
      </c>
      <c r="D1" s="138">
        <v>2007</v>
      </c>
      <c r="E1" s="138">
        <v>2008</v>
      </c>
      <c r="F1" s="138">
        <v>2009</v>
      </c>
      <c r="G1" s="146" t="s">
        <v>233</v>
      </c>
    </row>
    <row r="2" spans="1:8" ht="12.75">
      <c r="A2" s="146" t="s">
        <v>191</v>
      </c>
      <c r="B2" s="146">
        <v>192792</v>
      </c>
      <c r="C2" s="138">
        <v>231523</v>
      </c>
      <c r="D2" s="138">
        <v>314044</v>
      </c>
      <c r="E2" s="138">
        <v>342586</v>
      </c>
      <c r="F2" s="138">
        <v>747837</v>
      </c>
      <c r="G2" s="191">
        <f>SUM(B2:F2)</f>
        <v>1828782</v>
      </c>
      <c r="H2" s="143"/>
    </row>
    <row r="3" spans="1:7" ht="12.75">
      <c r="A3" s="146" t="s">
        <v>15</v>
      </c>
      <c r="B3" s="146">
        <v>17950</v>
      </c>
      <c r="C3" s="138">
        <v>22526</v>
      </c>
      <c r="D3" s="138">
        <v>30011</v>
      </c>
      <c r="E3" s="138">
        <v>30984</v>
      </c>
      <c r="F3" s="138">
        <v>42684</v>
      </c>
      <c r="G3" s="191">
        <f>SUM(B3:F3)</f>
        <v>144155</v>
      </c>
    </row>
    <row r="4" spans="1:7" ht="12.75">
      <c r="A4" s="146" t="s">
        <v>406</v>
      </c>
      <c r="B4" s="194">
        <f aca="true" t="shared" si="0" ref="B4:G4">B3/B2</f>
        <v>0.093105523050749</v>
      </c>
      <c r="C4" s="194">
        <f t="shared" si="0"/>
        <v>0.09729486919226167</v>
      </c>
      <c r="D4" s="194">
        <f t="shared" si="0"/>
        <v>0.09556304212148616</v>
      </c>
      <c r="E4" s="194">
        <f t="shared" si="0"/>
        <v>0.09044152417203272</v>
      </c>
      <c r="F4" s="194">
        <f t="shared" si="0"/>
        <v>0.05707660894018349</v>
      </c>
      <c r="G4" s="194">
        <f t="shared" si="0"/>
        <v>0.07882568835432545</v>
      </c>
    </row>
    <row r="5" spans="1:7" ht="12.75">
      <c r="A5" s="146"/>
      <c r="B5" s="146"/>
      <c r="C5" s="138"/>
      <c r="D5" s="138"/>
      <c r="E5" s="138"/>
      <c r="F5" s="138"/>
      <c r="G5" s="191"/>
    </row>
    <row r="6" spans="1:7" ht="12.75">
      <c r="A6" s="146" t="s">
        <v>359</v>
      </c>
      <c r="B6" s="192">
        <f>B3*(1-'Master Inputs Start here'!$B$14)</f>
        <v>14180.5</v>
      </c>
      <c r="C6" s="192">
        <f>C3*(1-'Master Inputs Start here'!$B$14)</f>
        <v>17795.54</v>
      </c>
      <c r="D6" s="192">
        <f>D3*(1-'Master Inputs Start here'!$B$14)</f>
        <v>23708.690000000002</v>
      </c>
      <c r="E6" s="192">
        <f>E3*(1-'Master Inputs Start here'!$B$14)</f>
        <v>24477.36</v>
      </c>
      <c r="F6" s="192">
        <f>F3*(1-'Master Inputs Start here'!$B$14)</f>
        <v>33720.36</v>
      </c>
      <c r="G6" s="191">
        <f>SUM(B6:F6)</f>
        <v>113882.45</v>
      </c>
    </row>
    <row r="7" spans="1:7" ht="12.75">
      <c r="A7" s="146" t="s">
        <v>360</v>
      </c>
      <c r="B7" s="146">
        <f>20193+13428</f>
        <v>33621</v>
      </c>
      <c r="C7" s="190">
        <f>0+27142</f>
        <v>27142</v>
      </c>
      <c r="D7" s="190">
        <f>29502+33791</f>
        <v>63293</v>
      </c>
      <c r="E7" s="190">
        <f>30957+66522</f>
        <v>97479</v>
      </c>
      <c r="F7" s="190">
        <f>102207+54956</f>
        <v>157163</v>
      </c>
      <c r="G7" s="191">
        <f>SUM(B7:F7)</f>
        <v>378698</v>
      </c>
    </row>
    <row r="8" spans="1:7" ht="12.75">
      <c r="A8" s="146" t="s">
        <v>16</v>
      </c>
      <c r="B8" s="146">
        <v>37019</v>
      </c>
      <c r="C8" s="190">
        <v>44602</v>
      </c>
      <c r="D8" s="190">
        <v>63054</v>
      </c>
      <c r="E8" s="190">
        <v>79717</v>
      </c>
      <c r="F8" s="190">
        <v>91658</v>
      </c>
      <c r="G8" s="191">
        <f>SUM(B8:F8)</f>
        <v>316050</v>
      </c>
    </row>
    <row r="9" spans="1:8" ht="12.75">
      <c r="A9" s="146" t="s">
        <v>361</v>
      </c>
      <c r="B9" s="146">
        <v>5546</v>
      </c>
      <c r="C9" s="190">
        <v>20209</v>
      </c>
      <c r="D9" s="190">
        <v>4838</v>
      </c>
      <c r="E9" s="190">
        <v>6998</v>
      </c>
      <c r="F9" s="190">
        <v>6450</v>
      </c>
      <c r="G9" s="191">
        <f>SUM(B9:F9)</f>
        <v>44041</v>
      </c>
      <c r="H9" s="147"/>
    </row>
    <row r="10" spans="1:7" ht="12.75">
      <c r="A10" s="146" t="s">
        <v>121</v>
      </c>
      <c r="B10" s="190">
        <f>B7+B8-B9</f>
        <v>65094</v>
      </c>
      <c r="C10" s="190">
        <f>C7+C8-C9</f>
        <v>51535</v>
      </c>
      <c r="D10" s="190">
        <f>D7+D8-D9</f>
        <v>121509</v>
      </c>
      <c r="E10" s="190">
        <f>E7+E8-E9</f>
        <v>170198</v>
      </c>
      <c r="F10" s="190">
        <f>F7+F8-F9</f>
        <v>242371</v>
      </c>
      <c r="G10" s="191">
        <f>SUM(B10:F10)</f>
        <v>650707</v>
      </c>
    </row>
    <row r="11" spans="1:7" ht="12.75">
      <c r="A11" s="146" t="s">
        <v>122</v>
      </c>
      <c r="B11" s="149">
        <f aca="true" t="shared" si="1" ref="B11:G11">B6/B10</f>
        <v>0.21784649890926966</v>
      </c>
      <c r="C11" s="149">
        <f t="shared" si="1"/>
        <v>0.34530978946347146</v>
      </c>
      <c r="D11" s="149">
        <f t="shared" si="1"/>
        <v>0.19511879778452626</v>
      </c>
      <c r="E11" s="149">
        <f t="shared" si="1"/>
        <v>0.14381696612181108</v>
      </c>
      <c r="F11" s="149">
        <f t="shared" si="1"/>
        <v>0.1391270407763305</v>
      </c>
      <c r="G11" s="149">
        <f t="shared" si="1"/>
        <v>0.1750134084926088</v>
      </c>
    </row>
    <row r="12" spans="1:7" ht="12.75">
      <c r="A12" s="146"/>
      <c r="B12" s="146"/>
      <c r="C12" s="138"/>
      <c r="D12" s="138"/>
      <c r="E12" s="138"/>
      <c r="F12" s="138"/>
      <c r="G12" s="146"/>
    </row>
    <row r="13" spans="1:7" ht="12.75">
      <c r="A13" s="146" t="s">
        <v>484</v>
      </c>
      <c r="B13" s="146">
        <v>8740</v>
      </c>
      <c r="C13" s="190">
        <v>12592</v>
      </c>
      <c r="D13" s="190">
        <v>27588</v>
      </c>
      <c r="E13" s="190">
        <v>52804</v>
      </c>
      <c r="F13" s="190">
        <v>99708</v>
      </c>
      <c r="G13" s="191">
        <f>SUM(C13:F13)</f>
        <v>192692</v>
      </c>
    </row>
    <row r="14" spans="1:7" ht="12.75">
      <c r="A14" s="146" t="s">
        <v>485</v>
      </c>
      <c r="B14" s="146">
        <v>5844</v>
      </c>
      <c r="C14" s="190">
        <v>1321</v>
      </c>
      <c r="D14" s="190">
        <v>891</v>
      </c>
      <c r="E14" s="190">
        <v>9937</v>
      </c>
      <c r="F14" s="190">
        <v>553</v>
      </c>
      <c r="G14" s="191">
        <f>SUM(C14:F14)</f>
        <v>12702</v>
      </c>
    </row>
    <row r="15" spans="1:7" ht="12.75">
      <c r="A15" s="146" t="s">
        <v>486</v>
      </c>
      <c r="B15" s="146">
        <v>5377</v>
      </c>
      <c r="C15" s="190">
        <v>6274</v>
      </c>
      <c r="D15" s="190">
        <v>6850</v>
      </c>
      <c r="E15" s="190">
        <v>7826</v>
      </c>
      <c r="F15" s="190">
        <v>25072</v>
      </c>
      <c r="G15" s="191">
        <f>SUM(C15:F15)</f>
        <v>46022</v>
      </c>
    </row>
    <row r="16" spans="1:7" ht="12.75">
      <c r="A16" s="146" t="s">
        <v>487</v>
      </c>
      <c r="B16" s="146">
        <v>5628</v>
      </c>
      <c r="C16" s="190">
        <v>23450</v>
      </c>
      <c r="D16" s="190">
        <v>41370</v>
      </c>
      <c r="E16" s="190">
        <v>-20422</v>
      </c>
      <c r="F16" s="190">
        <v>13450</v>
      </c>
      <c r="G16" s="191">
        <f>SUM(C16:F16)</f>
        <v>57848</v>
      </c>
    </row>
    <row r="17" spans="1:7" ht="12.75">
      <c r="A17" s="146" t="s">
        <v>488</v>
      </c>
      <c r="B17" s="190">
        <f>B13+B14-B15+B16</f>
        <v>14835</v>
      </c>
      <c r="C17" s="190">
        <f>C13+C14-C15+C16</f>
        <v>31089</v>
      </c>
      <c r="D17" s="190">
        <f>D13+D14-D15+D16</f>
        <v>62999</v>
      </c>
      <c r="E17" s="190">
        <f>E13+E14-E15+E16</f>
        <v>34493</v>
      </c>
      <c r="F17" s="190">
        <f>F13+F14-F15+F16</f>
        <v>88639</v>
      </c>
      <c r="G17" s="191">
        <f>SUM(C17:F17)</f>
        <v>217220</v>
      </c>
    </row>
    <row r="18" spans="1:7" ht="12.75">
      <c r="A18" s="146" t="s">
        <v>508</v>
      </c>
      <c r="B18" s="149">
        <f aca="true" t="shared" si="2" ref="B18:G18">B17/B6</f>
        <v>1.0461549310673108</v>
      </c>
      <c r="C18" s="149">
        <f t="shared" si="2"/>
        <v>1.7470107678665552</v>
      </c>
      <c r="D18" s="149">
        <f t="shared" si="2"/>
        <v>2.6572113431826048</v>
      </c>
      <c r="E18" s="149">
        <f t="shared" si="2"/>
        <v>1.4091797481427735</v>
      </c>
      <c r="F18" s="149">
        <f t="shared" si="2"/>
        <v>2.628649278951945</v>
      </c>
      <c r="G18" s="149">
        <f t="shared" si="2"/>
        <v>1.907405399163787</v>
      </c>
    </row>
    <row r="19" spans="1:7" ht="12.75">
      <c r="A19" s="193" t="s">
        <v>405</v>
      </c>
      <c r="B19" s="153">
        <f aca="true" t="shared" si="3" ref="B19:G19">(B17-B14)/B6</f>
        <v>0.6340397024082367</v>
      </c>
      <c r="C19" s="153">
        <f t="shared" si="3"/>
        <v>1.6727786849963528</v>
      </c>
      <c r="D19" s="153">
        <f t="shared" si="3"/>
        <v>2.619630186231293</v>
      </c>
      <c r="E19" s="153">
        <f t="shared" si="3"/>
        <v>1.0032127647752862</v>
      </c>
      <c r="F19" s="153">
        <f t="shared" si="3"/>
        <v>2.612249691284435</v>
      </c>
      <c r="G19" s="153">
        <f t="shared" si="3"/>
        <v>1.7958693371981373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6"/>
  <sheetViews>
    <sheetView workbookViewId="0" topLeftCell="A1">
      <selection activeCell="E14" sqref="E14"/>
    </sheetView>
  </sheetViews>
  <sheetFormatPr defaultColWidth="11.00390625" defaultRowHeight="12.75"/>
  <cols>
    <col min="1" max="1" width="18.375" style="0" bestFit="1" customWidth="1"/>
    <col min="2" max="2" width="9.75390625" style="0" bestFit="1" customWidth="1"/>
    <col min="3" max="3" width="13.00390625" style="0" bestFit="1" customWidth="1"/>
    <col min="4" max="4" width="12.25390625" style="0" bestFit="1" customWidth="1"/>
    <col min="5" max="5" width="8.875" style="0" bestFit="1" customWidth="1"/>
    <col min="6" max="6" width="12.375" style="0" bestFit="1" customWidth="1"/>
  </cols>
  <sheetData>
    <row r="1" spans="1:5" ht="12.75">
      <c r="A1" t="s">
        <v>195</v>
      </c>
      <c r="B1" t="s">
        <v>372</v>
      </c>
      <c r="C1" t="s">
        <v>373</v>
      </c>
      <c r="D1" t="s">
        <v>196</v>
      </c>
      <c r="E1" t="s">
        <v>374</v>
      </c>
    </row>
    <row r="2" ht="12.75">
      <c r="A2" t="s">
        <v>375</v>
      </c>
    </row>
    <row r="3" spans="1:5" ht="12.75">
      <c r="A3" t="s">
        <v>507</v>
      </c>
      <c r="B3">
        <v>21440882</v>
      </c>
      <c r="C3">
        <v>2699</v>
      </c>
      <c r="D3">
        <v>633</v>
      </c>
      <c r="E3">
        <f>B3*D3/1000000</f>
        <v>13572.078306</v>
      </c>
    </row>
    <row r="4" spans="1:5" ht="12.75">
      <c r="A4" t="s">
        <v>272</v>
      </c>
      <c r="B4">
        <v>70249</v>
      </c>
      <c r="C4">
        <v>2.4</v>
      </c>
      <c r="D4">
        <v>346</v>
      </c>
      <c r="E4">
        <f>B4*D4/1000000</f>
        <v>24.306154</v>
      </c>
    </row>
    <row r="13" spans="1:5" ht="12.75">
      <c r="A13" t="s">
        <v>376</v>
      </c>
      <c r="C13">
        <f>SUM(C3:C12)</f>
        <v>2701.4</v>
      </c>
      <c r="E13">
        <f>SUM(E3:E12)</f>
        <v>13596.38446</v>
      </c>
    </row>
    <row r="15" ht="12.75">
      <c r="A15" t="s">
        <v>377</v>
      </c>
    </row>
    <row r="16" spans="1:5" ht="12.75">
      <c r="A16" t="s">
        <v>378</v>
      </c>
      <c r="C16">
        <f>'Master Inputs Start here'!B23-'Cross Holdings Valuation'!C13</f>
        <v>137874.58446</v>
      </c>
      <c r="D16" t="s">
        <v>249</v>
      </c>
      <c r="E16">
        <f>C16</f>
        <v>137874.58446</v>
      </c>
    </row>
  </sheetData>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A1" sqref="A1:F8"/>
    </sheetView>
  </sheetViews>
  <sheetFormatPr defaultColWidth="11.00390625" defaultRowHeight="12.75"/>
  <cols>
    <col min="1" max="1" width="17.875" style="0" bestFit="1" customWidth="1"/>
    <col min="5" max="5" width="10.75390625" style="148" customWidth="1"/>
  </cols>
  <sheetData>
    <row r="1" spans="1:6" ht="12.75">
      <c r="A1" s="146" t="s">
        <v>190</v>
      </c>
      <c r="B1" s="138" t="s">
        <v>191</v>
      </c>
      <c r="C1" s="138" t="s">
        <v>192</v>
      </c>
      <c r="D1" s="138" t="s">
        <v>499</v>
      </c>
      <c r="E1" s="149" t="s">
        <v>193</v>
      </c>
      <c r="F1" s="138" t="s">
        <v>328</v>
      </c>
    </row>
    <row r="2" spans="1:6" ht="12.75">
      <c r="A2" s="146" t="s">
        <v>329</v>
      </c>
      <c r="B2" s="138">
        <v>8341</v>
      </c>
      <c r="C2" s="150">
        <v>3.23</v>
      </c>
      <c r="D2" s="151">
        <f aca="true" t="shared" si="0" ref="D2:D7">B2*C2</f>
        <v>26941.43</v>
      </c>
      <c r="E2" s="149">
        <f aca="true" t="shared" si="1" ref="E2:E7">D2/$D$8</f>
        <v>0.637297575913985</v>
      </c>
      <c r="F2" s="152">
        <v>1.6</v>
      </c>
    </row>
    <row r="3" spans="1:6" ht="12.75">
      <c r="A3" s="146" t="s">
        <v>330</v>
      </c>
      <c r="B3" s="138">
        <v>2563</v>
      </c>
      <c r="C3" s="138">
        <v>1.97</v>
      </c>
      <c r="D3" s="151">
        <f t="shared" si="0"/>
        <v>5049.11</v>
      </c>
      <c r="E3" s="149">
        <f t="shared" si="1"/>
        <v>0.11943633146136119</v>
      </c>
      <c r="F3" s="152">
        <v>1.44</v>
      </c>
    </row>
    <row r="4" spans="1:6" ht="12.75">
      <c r="A4" s="146" t="s">
        <v>331</v>
      </c>
      <c r="B4" s="138">
        <v>1200</v>
      </c>
      <c r="C4" s="138">
        <v>1.55</v>
      </c>
      <c r="D4" s="151">
        <f t="shared" si="0"/>
        <v>1860</v>
      </c>
      <c r="E4" s="149">
        <f t="shared" si="1"/>
        <v>0.04399816532381585</v>
      </c>
      <c r="F4" s="152">
        <v>1.29</v>
      </c>
    </row>
    <row r="5" spans="1:6" ht="12.75">
      <c r="A5" s="146" t="s">
        <v>332</v>
      </c>
      <c r="B5" s="138">
        <v>2252</v>
      </c>
      <c r="C5" s="138">
        <v>1.36</v>
      </c>
      <c r="D5" s="151">
        <f t="shared" si="0"/>
        <v>3062.7200000000003</v>
      </c>
      <c r="E5" s="149">
        <f t="shared" si="1"/>
        <v>0.07244841983900929</v>
      </c>
      <c r="F5" s="152">
        <v>1.21</v>
      </c>
    </row>
    <row r="6" spans="1:6" ht="12.75">
      <c r="A6" s="146" t="s">
        <v>497</v>
      </c>
      <c r="B6" s="138">
        <v>1753</v>
      </c>
      <c r="C6" s="138">
        <v>1.8</v>
      </c>
      <c r="D6" s="151">
        <f t="shared" si="0"/>
        <v>3155.4</v>
      </c>
      <c r="E6" s="149">
        <f t="shared" si="1"/>
        <v>0.07464075852837017</v>
      </c>
      <c r="F6" s="152">
        <v>1.19</v>
      </c>
    </row>
    <row r="7" spans="1:6" ht="12.75">
      <c r="A7" s="146" t="s">
        <v>498</v>
      </c>
      <c r="B7" s="138">
        <v>1823</v>
      </c>
      <c r="C7" s="138">
        <v>1.21</v>
      </c>
      <c r="D7" s="151">
        <f t="shared" si="0"/>
        <v>2205.83</v>
      </c>
      <c r="E7" s="149">
        <f t="shared" si="1"/>
        <v>0.052178748933458446</v>
      </c>
      <c r="F7" s="152">
        <v>1.29</v>
      </c>
    </row>
    <row r="8" spans="4:6" ht="12.75">
      <c r="D8" s="151">
        <f>SUM(D2:D7)</f>
        <v>42274.490000000005</v>
      </c>
      <c r="E8" s="153">
        <f>SUM(E2:E7)</f>
        <v>0.9999999999999999</v>
      </c>
      <c r="F8" s="154">
        <f>E2*F2+E3*F3+E4*F4+E5*F5+E6*F6+E7*F7</f>
        <v>1.4922177488125818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35"/>
  <sheetViews>
    <sheetView zoomScale="150" zoomScaleNormal="150" workbookViewId="0" topLeftCell="A1">
      <selection activeCell="H26" sqref="H26"/>
    </sheetView>
  </sheetViews>
  <sheetFormatPr defaultColWidth="11.00390625" defaultRowHeight="12.75"/>
  <cols>
    <col min="1" max="1" width="19.00390625" style="0" bestFit="1" customWidth="1"/>
    <col min="5" max="5" width="10.75390625" style="55" customWidth="1"/>
  </cols>
  <sheetData>
    <row r="1" spans="1:5" s="24" customFormat="1" ht="18">
      <c r="A1" s="24" t="s">
        <v>458</v>
      </c>
      <c r="D1" s="54"/>
      <c r="E1" s="54"/>
    </row>
    <row r="2" spans="1:5" s="4" customFormat="1" ht="12.75">
      <c r="A2" s="4" t="s">
        <v>524</v>
      </c>
      <c r="D2" s="83">
        <v>3</v>
      </c>
      <c r="E2" s="9"/>
    </row>
    <row r="3" s="4" customFormat="1" ht="12.75">
      <c r="E3" s="9"/>
    </row>
    <row r="4" spans="1:5" s="7" customFormat="1" ht="12.75">
      <c r="A4" s="7" t="s">
        <v>466</v>
      </c>
      <c r="E4" s="15"/>
    </row>
    <row r="5" spans="1:4" s="4" customFormat="1" ht="12.75">
      <c r="A5" s="4" t="s">
        <v>402</v>
      </c>
      <c r="D5" s="83">
        <f>AVERAGE(B20:F20)</f>
        <v>19737.6</v>
      </c>
    </row>
    <row r="6" s="4" customFormat="1" ht="12.75">
      <c r="D6" s="9"/>
    </row>
    <row r="7" spans="1:4" s="7" customFormat="1" ht="12.75">
      <c r="A7" s="7" t="s">
        <v>551</v>
      </c>
      <c r="D7" s="15"/>
    </row>
    <row r="8" spans="1:4" s="4" customFormat="1" ht="12.75">
      <c r="A8" s="4" t="s">
        <v>536</v>
      </c>
      <c r="D8" s="86">
        <v>0.22</v>
      </c>
    </row>
    <row r="9" s="4" customFormat="1" ht="12.75">
      <c r="D9" s="9"/>
    </row>
    <row r="10" spans="1:4" s="7" customFormat="1" ht="12.75">
      <c r="A10" s="7" t="s">
        <v>537</v>
      </c>
      <c r="D10" s="15"/>
    </row>
    <row r="11" spans="1:5" s="4" customFormat="1" ht="12.75">
      <c r="A11" s="4" t="s">
        <v>66</v>
      </c>
      <c r="D11" s="84">
        <f>G21</f>
        <v>0.07043794604525279</v>
      </c>
      <c r="E11" s="4" t="s">
        <v>67</v>
      </c>
    </row>
    <row r="12" s="4" customFormat="1" ht="12.75">
      <c r="E12" s="9"/>
    </row>
    <row r="13" ht="12.75"/>
    <row r="14" spans="1:5" s="4" customFormat="1" ht="12.75">
      <c r="A14" s="4" t="s">
        <v>78</v>
      </c>
      <c r="D14" s="87">
        <f>IF(D2=1,D5,(IF(D2=2,D8*('Master Inputs Start here'!B19+'Master Inputs Start here'!B20),'Earnings Normalizer'!D11*'Master Inputs Start here'!B16)))+'Master Inputs Start here'!B11</f>
        <v>25464.195839159267</v>
      </c>
      <c r="E14" s="9"/>
    </row>
    <row r="15" ht="12.75"/>
    <row r="16" ht="12.75"/>
    <row r="17" spans="1:5" s="8" customFormat="1" ht="12.75">
      <c r="A17" s="8" t="s">
        <v>219</v>
      </c>
      <c r="E17" s="17"/>
    </row>
    <row r="18" spans="1:7" s="9" customFormat="1" ht="12.75">
      <c r="A18" s="12"/>
      <c r="B18" s="12">
        <v>-5</v>
      </c>
      <c r="C18" s="12">
        <v>-4</v>
      </c>
      <c r="D18" s="12">
        <v>-3</v>
      </c>
      <c r="E18" s="12">
        <v>-2</v>
      </c>
      <c r="F18" s="12">
        <v>-1</v>
      </c>
      <c r="G18" s="12" t="s">
        <v>77</v>
      </c>
    </row>
    <row r="19" spans="1:7" s="4" customFormat="1" ht="12">
      <c r="A19" s="11" t="s">
        <v>207</v>
      </c>
      <c r="B19" s="196">
        <v>206487</v>
      </c>
      <c r="C19" s="196">
        <v>242905</v>
      </c>
      <c r="D19" s="196">
        <v>320648</v>
      </c>
      <c r="E19" s="197">
        <v>335771</v>
      </c>
      <c r="F19" s="196">
        <v>295252</v>
      </c>
      <c r="G19" s="198">
        <f>SUM(B19:F19)</f>
        <v>1401063</v>
      </c>
    </row>
    <row r="20" spans="1:7" s="4" customFormat="1" ht="12">
      <c r="A20" s="11" t="s">
        <v>401</v>
      </c>
      <c r="B20" s="196">
        <v>16519</v>
      </c>
      <c r="C20" s="196">
        <v>20534</v>
      </c>
      <c r="D20" s="196">
        <v>25732</v>
      </c>
      <c r="E20" s="197">
        <v>25765</v>
      </c>
      <c r="F20" s="196">
        <v>10138</v>
      </c>
      <c r="G20" s="198">
        <f>SUM(B20:F20)</f>
        <v>98688</v>
      </c>
    </row>
    <row r="21" spans="1:7" s="4" customFormat="1" ht="12">
      <c r="A21" s="11" t="s">
        <v>453</v>
      </c>
      <c r="B21" s="101">
        <f aca="true" t="shared" si="0" ref="B21:G21">B20/B19</f>
        <v>0.08000019371679573</v>
      </c>
      <c r="C21" s="101">
        <f t="shared" si="0"/>
        <v>0.08453510631728453</v>
      </c>
      <c r="D21" s="101">
        <f t="shared" si="0"/>
        <v>0.08024999376263067</v>
      </c>
      <c r="E21" s="101">
        <f t="shared" si="0"/>
        <v>0.07673384538867263</v>
      </c>
      <c r="F21" s="101">
        <f t="shared" si="0"/>
        <v>0.03433676994567353</v>
      </c>
      <c r="G21" s="39">
        <f t="shared" si="0"/>
        <v>0.07043794604525279</v>
      </c>
    </row>
    <row r="23" spans="1:8" s="4" customFormat="1" ht="12">
      <c r="A23" s="135" t="s">
        <v>310</v>
      </c>
      <c r="B23" s="135">
        <f>443-161</f>
        <v>282</v>
      </c>
      <c r="C23" s="11">
        <f>110-222</f>
        <v>-112</v>
      </c>
      <c r="D23" s="11">
        <f>237-264</f>
        <v>-27</v>
      </c>
      <c r="E23" s="11">
        <f>522.55-370.79</f>
        <v>151.75999999999993</v>
      </c>
      <c r="F23" s="12">
        <f>718.57-522.55</f>
        <v>196.0200000000001</v>
      </c>
      <c r="G23" s="11">
        <f>SUM(B23:F23)</f>
        <v>490.78000000000003</v>
      </c>
      <c r="H23" s="134"/>
    </row>
    <row r="24" spans="1:7" s="4" customFormat="1" ht="12">
      <c r="A24" s="135" t="s">
        <v>292</v>
      </c>
      <c r="B24" s="11">
        <f>B26+B27+B28-B29-B30</f>
        <v>26.07000000000005</v>
      </c>
      <c r="C24" s="11">
        <f>C26+C27+C28-C29-C30</f>
        <v>305.82</v>
      </c>
      <c r="D24" s="11">
        <f>D26+D27+D28-D29-D30</f>
        <v>915.0299999999999</v>
      </c>
      <c r="E24" s="11">
        <f>E26+E27+E28-E29-E30</f>
        <v>-222.74</v>
      </c>
      <c r="F24" s="11">
        <f>F26+F27+F28-F29-F30</f>
        <v>1502.8999999999996</v>
      </c>
      <c r="G24" s="11">
        <f>SUM(B24:F24)</f>
        <v>2527.0799999999995</v>
      </c>
    </row>
    <row r="25" spans="5:8" s="4" customFormat="1" ht="12">
      <c r="E25" s="9"/>
      <c r="H25" s="4">
        <f>G21*'Master Inputs Start here'!B16</f>
        <v>18727.195839159267</v>
      </c>
    </row>
    <row r="26" spans="1:6" s="4" customFormat="1" ht="12">
      <c r="A26" s="124" t="s">
        <v>293</v>
      </c>
      <c r="B26" s="4">
        <v>367.38</v>
      </c>
      <c r="C26" s="4">
        <v>682.72</v>
      </c>
      <c r="D26" s="4">
        <v>1281.06</v>
      </c>
      <c r="E26" s="9">
        <v>1121.56</v>
      </c>
      <c r="F26" s="4">
        <v>2371.09</v>
      </c>
    </row>
    <row r="27" spans="1:6" s="4" customFormat="1" ht="12">
      <c r="A27" s="124" t="s">
        <v>294</v>
      </c>
      <c r="B27" s="4">
        <v>74.48</v>
      </c>
      <c r="C27" s="4">
        <v>149.74</v>
      </c>
      <c r="D27" s="4">
        <v>537.37</v>
      </c>
      <c r="E27" s="9">
        <v>314.02</v>
      </c>
      <c r="F27" s="4">
        <v>1386.19</v>
      </c>
    </row>
    <row r="28" spans="1:6" s="4" customFormat="1" ht="12">
      <c r="A28" s="124" t="s">
        <v>368</v>
      </c>
      <c r="B28" s="4">
        <v>34.23</v>
      </c>
      <c r="C28" s="4">
        <v>57.17</v>
      </c>
      <c r="D28" s="4">
        <v>174.73</v>
      </c>
      <c r="E28" s="9">
        <v>291.92</v>
      </c>
      <c r="F28" s="4">
        <v>474.46</v>
      </c>
    </row>
    <row r="29" spans="1:6" s="4" customFormat="1" ht="12">
      <c r="A29" s="124" t="s">
        <v>47</v>
      </c>
      <c r="B29" s="4">
        <v>190.06</v>
      </c>
      <c r="C29" s="4">
        <v>248.98</v>
      </c>
      <c r="D29" s="4">
        <v>358.23</v>
      </c>
      <c r="E29" s="9">
        <v>521.17</v>
      </c>
      <c r="F29" s="4">
        <v>615.72</v>
      </c>
    </row>
    <row r="30" spans="1:6" s="4" customFormat="1" ht="12">
      <c r="A30" s="124" t="s">
        <v>48</v>
      </c>
      <c r="B30" s="4">
        <v>259.96</v>
      </c>
      <c r="C30" s="4">
        <v>334.83</v>
      </c>
      <c r="D30" s="4">
        <v>719.9</v>
      </c>
      <c r="E30" s="9">
        <v>1429.07</v>
      </c>
      <c r="F30" s="4">
        <v>2113.12</v>
      </c>
    </row>
    <row r="32" spans="1:2" ht="12.75">
      <c r="A32" s="124" t="s">
        <v>483</v>
      </c>
      <c r="B32" s="125">
        <f>G23/(G20*(1-'Master Inputs Start here'!B15))</f>
        <v>0.00753377725852566</v>
      </c>
    </row>
    <row r="33" spans="1:2" ht="12.75">
      <c r="A33" s="124" t="s">
        <v>505</v>
      </c>
      <c r="B33" s="125">
        <f>G24/G19</f>
        <v>0.0018036876286077067</v>
      </c>
    </row>
    <row r="35" spans="1:2" ht="12.75">
      <c r="A35" s="124" t="s">
        <v>506</v>
      </c>
      <c r="B35" s="126">
        <f>B32*'Master Inputs Start here'!B10*(1-'Master Inputs Start here'!B15)+('Master Inputs Start here'!B16-'Master Inputs Start here'!C16)*'Earnings Normalizer'!B33</f>
        <v>39.620985183277405</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J142"/>
  <sheetViews>
    <sheetView workbookViewId="0" topLeftCell="A1">
      <selection activeCell="E31" sqref="E31"/>
    </sheetView>
  </sheetViews>
  <sheetFormatPr defaultColWidth="11.00390625" defaultRowHeight="12.75"/>
  <sheetData>
    <row r="1" spans="1:10" s="24" customFormat="1" ht="18">
      <c r="A1" s="19" t="s">
        <v>337</v>
      </c>
      <c r="B1" s="19"/>
      <c r="C1" s="19"/>
      <c r="D1" s="19"/>
      <c r="E1" s="19"/>
      <c r="F1" s="19"/>
      <c r="G1" s="19"/>
      <c r="H1" s="19"/>
      <c r="I1" s="19"/>
      <c r="J1" s="19"/>
    </row>
    <row r="2" s="4" customFormat="1" ht="12.75">
      <c r="A2" s="4" t="s">
        <v>437</v>
      </c>
    </row>
    <row r="3" s="4" customFormat="1" ht="12.75">
      <c r="A3" s="4" t="s">
        <v>155</v>
      </c>
    </row>
    <row r="4" s="4" customFormat="1" ht="12.75"/>
    <row r="5" s="4" customFormat="1" ht="12.75">
      <c r="A5" s="7" t="s">
        <v>141</v>
      </c>
    </row>
    <row r="6" spans="1:7" s="4" customFormat="1" ht="12.75">
      <c r="A6" s="4" t="s">
        <v>519</v>
      </c>
      <c r="F6" s="83">
        <v>5</v>
      </c>
      <c r="G6" s="4" t="s">
        <v>0</v>
      </c>
    </row>
    <row r="7" spans="1:7" s="4" customFormat="1" ht="12.75">
      <c r="A7" s="4" t="s">
        <v>101</v>
      </c>
      <c r="F7" s="87">
        <v>1594</v>
      </c>
      <c r="G7" s="4" t="s">
        <v>203</v>
      </c>
    </row>
    <row r="8" s="4" customFormat="1" ht="12.75">
      <c r="A8" s="4" t="s">
        <v>44</v>
      </c>
    </row>
    <row r="9" s="4" customFormat="1" ht="12.75">
      <c r="A9" s="4" t="s">
        <v>502</v>
      </c>
    </row>
    <row r="10" spans="1:9" s="23" customFormat="1" ht="12.75">
      <c r="A10" s="46" t="s">
        <v>321</v>
      </c>
      <c r="B10" s="46" t="s">
        <v>419</v>
      </c>
      <c r="C10" s="47"/>
      <c r="D10" s="47"/>
      <c r="E10" s="47"/>
      <c r="F10" s="47"/>
      <c r="G10" s="47"/>
      <c r="H10" s="47"/>
      <c r="I10" s="47"/>
    </row>
    <row r="11" spans="1:9" s="23" customFormat="1" ht="12.75">
      <c r="A11" s="48">
        <v>-1</v>
      </c>
      <c r="B11" s="88">
        <v>1026</v>
      </c>
      <c r="C11" s="47" t="s">
        <v>105</v>
      </c>
      <c r="D11" s="47"/>
      <c r="E11" s="47"/>
      <c r="F11" s="47"/>
      <c r="G11" s="47"/>
      <c r="H11" s="47"/>
      <c r="I11" s="47"/>
    </row>
    <row r="12" spans="1:9" s="23" customFormat="1" ht="12.75">
      <c r="A12" s="48">
        <f>IF((0-A11)&lt;$F$6,IF(A11&gt;-1,,A11-1),)</f>
        <v>-2</v>
      </c>
      <c r="B12" s="88">
        <v>698</v>
      </c>
      <c r="C12" s="47" t="s">
        <v>111</v>
      </c>
      <c r="D12" s="47"/>
      <c r="E12" s="47"/>
      <c r="F12" s="47"/>
      <c r="G12" s="47"/>
      <c r="H12" s="47"/>
      <c r="I12" s="47"/>
    </row>
    <row r="13" spans="1:9" s="23" customFormat="1" ht="12.75">
      <c r="A13" s="48">
        <f aca="true" t="shared" si="0" ref="A13:A20">IF((0-A12)&lt;$F$6,IF(A12&gt;-1,,A12-1),)</f>
        <v>-3</v>
      </c>
      <c r="B13" s="88">
        <v>399</v>
      </c>
      <c r="C13" s="47"/>
      <c r="D13" s="47"/>
      <c r="E13" s="47"/>
      <c r="F13" s="47"/>
      <c r="G13" s="47"/>
      <c r="H13" s="47"/>
      <c r="I13" s="47"/>
    </row>
    <row r="14" spans="1:9" s="23" customFormat="1" ht="12.75">
      <c r="A14" s="48">
        <f t="shared" si="0"/>
        <v>-4</v>
      </c>
      <c r="B14" s="88">
        <v>211</v>
      </c>
      <c r="C14" s="47"/>
      <c r="D14" s="47"/>
      <c r="E14" s="47"/>
      <c r="F14" s="47"/>
      <c r="G14" s="47"/>
      <c r="H14" s="47"/>
      <c r="I14" s="47"/>
    </row>
    <row r="15" spans="1:9" s="23" customFormat="1" ht="12.75">
      <c r="A15" s="48">
        <f t="shared" si="0"/>
        <v>-5</v>
      </c>
      <c r="B15" s="88">
        <v>89</v>
      </c>
      <c r="C15" s="47"/>
      <c r="D15" s="47"/>
      <c r="E15" s="47"/>
      <c r="F15" s="47"/>
      <c r="G15" s="47"/>
      <c r="H15" s="47"/>
      <c r="I15" s="47"/>
    </row>
    <row r="16" spans="1:9" s="23" customFormat="1" ht="12.75">
      <c r="A16" s="48">
        <f t="shared" si="0"/>
        <v>0</v>
      </c>
      <c r="B16" s="88"/>
      <c r="C16" s="47"/>
      <c r="D16" s="47"/>
      <c r="E16" s="47"/>
      <c r="F16" s="47"/>
      <c r="G16" s="47"/>
      <c r="H16" s="47"/>
      <c r="I16" s="47"/>
    </row>
    <row r="17" spans="1:9" s="23" customFormat="1" ht="12.75">
      <c r="A17" s="48">
        <f t="shared" si="0"/>
        <v>0</v>
      </c>
      <c r="B17" s="88"/>
      <c r="C17" s="47"/>
      <c r="D17" s="47"/>
      <c r="E17" s="47"/>
      <c r="F17" s="47"/>
      <c r="G17" s="47"/>
      <c r="H17" s="47"/>
      <c r="I17" s="47"/>
    </row>
    <row r="18" spans="1:9" s="23" customFormat="1" ht="12.75">
      <c r="A18" s="48">
        <f t="shared" si="0"/>
        <v>0</v>
      </c>
      <c r="B18" s="88"/>
      <c r="C18" s="47"/>
      <c r="D18" s="47"/>
      <c r="E18" s="47"/>
      <c r="F18" s="47"/>
      <c r="G18" s="47"/>
      <c r="H18" s="47"/>
      <c r="I18" s="47"/>
    </row>
    <row r="19" spans="1:9" s="23" customFormat="1" ht="12.75">
      <c r="A19" s="48">
        <f t="shared" si="0"/>
        <v>0</v>
      </c>
      <c r="B19" s="88"/>
      <c r="C19" s="47"/>
      <c r="D19" s="47"/>
      <c r="E19" s="47"/>
      <c r="F19" s="47"/>
      <c r="G19" s="47"/>
      <c r="H19" s="47"/>
      <c r="I19" s="47"/>
    </row>
    <row r="20" spans="1:9" s="23" customFormat="1" ht="12.75">
      <c r="A20" s="48">
        <f t="shared" si="0"/>
        <v>0</v>
      </c>
      <c r="B20" s="88"/>
      <c r="C20" s="47"/>
      <c r="D20" s="47"/>
      <c r="E20" s="47"/>
      <c r="F20" s="47"/>
      <c r="G20" s="47"/>
      <c r="H20" s="47"/>
      <c r="I20" s="47"/>
    </row>
    <row r="21" spans="1:9" s="23" customFormat="1" ht="12.75">
      <c r="A21" s="47"/>
      <c r="B21" s="47"/>
      <c r="C21" s="47"/>
      <c r="D21" s="47"/>
      <c r="E21" s="47"/>
      <c r="F21" s="47"/>
      <c r="G21" s="47"/>
      <c r="H21" s="47"/>
      <c r="I21" s="47"/>
    </row>
    <row r="22" spans="1:9" s="23" customFormat="1" ht="12.75">
      <c r="A22" s="49" t="s">
        <v>515</v>
      </c>
      <c r="B22" s="47"/>
      <c r="C22" s="47"/>
      <c r="D22" s="47"/>
      <c r="E22" s="47"/>
      <c r="F22" s="47"/>
      <c r="G22" s="47"/>
      <c r="H22" s="47"/>
      <c r="I22" s="47"/>
    </row>
    <row r="23" spans="1:9" s="23" customFormat="1" ht="12.75">
      <c r="A23" s="46" t="s">
        <v>321</v>
      </c>
      <c r="B23" s="46" t="s">
        <v>338</v>
      </c>
      <c r="C23" s="50" t="s">
        <v>274</v>
      </c>
      <c r="D23" s="51"/>
      <c r="E23" s="47" t="s">
        <v>102</v>
      </c>
      <c r="F23" s="47"/>
      <c r="G23" s="47"/>
      <c r="H23" s="47"/>
      <c r="I23" s="47"/>
    </row>
    <row r="24" spans="1:9" s="23" customFormat="1" ht="12.75">
      <c r="A24" s="46" t="s">
        <v>179</v>
      </c>
      <c r="B24" s="46">
        <f>F7</f>
        <v>1594</v>
      </c>
      <c r="C24" s="46">
        <f>1</f>
        <v>1</v>
      </c>
      <c r="D24" s="46">
        <f>B24*C24</f>
        <v>1594</v>
      </c>
      <c r="E24" s="47"/>
      <c r="F24" s="47"/>
      <c r="G24" s="47"/>
      <c r="H24" s="47"/>
      <c r="I24" s="47"/>
    </row>
    <row r="25" spans="1:9" s="23" customFormat="1" ht="12.75">
      <c r="A25" s="48">
        <f>A11</f>
        <v>-1</v>
      </c>
      <c r="B25" s="46">
        <f>B11</f>
        <v>1026</v>
      </c>
      <c r="C25" s="46">
        <f>IF(A25&lt;0,($F$6+A25)/$F$6,0)</f>
        <v>0.8</v>
      </c>
      <c r="D25" s="46">
        <f>B25*C25</f>
        <v>820.8000000000001</v>
      </c>
      <c r="E25" s="118">
        <f aca="true" t="shared" si="1" ref="E25:E34">IF(A25&lt;0,B25/$F$6,0)</f>
        <v>205.2</v>
      </c>
      <c r="F25" s="47"/>
      <c r="G25" s="47"/>
      <c r="H25" s="47"/>
      <c r="I25" s="47"/>
    </row>
    <row r="26" spans="1:9" s="23" customFormat="1" ht="12.75">
      <c r="A26" s="48">
        <f aca="true" t="shared" si="2" ref="A26:B34">A12</f>
        <v>-2</v>
      </c>
      <c r="B26" s="46">
        <f t="shared" si="2"/>
        <v>698</v>
      </c>
      <c r="C26" s="46">
        <f>IF(A26&lt;0,($F$6+A26)/$F$6,0)</f>
        <v>0.6</v>
      </c>
      <c r="D26" s="46">
        <f aca="true" t="shared" si="3" ref="D26:D34">B26*C26</f>
        <v>418.8</v>
      </c>
      <c r="E26" s="118">
        <f t="shared" si="1"/>
        <v>139.6</v>
      </c>
      <c r="F26" s="47"/>
      <c r="G26" s="47"/>
      <c r="H26" s="47"/>
      <c r="I26" s="47"/>
    </row>
    <row r="27" spans="1:9" s="23" customFormat="1" ht="12.75">
      <c r="A27" s="48">
        <f t="shared" si="2"/>
        <v>-3</v>
      </c>
      <c r="B27" s="46">
        <f t="shared" si="2"/>
        <v>399</v>
      </c>
      <c r="C27" s="46">
        <f>IF(A27&lt;0,($F$6+A27)/$F$6,0)</f>
        <v>0.4</v>
      </c>
      <c r="D27" s="46">
        <f t="shared" si="3"/>
        <v>159.60000000000002</v>
      </c>
      <c r="E27" s="118">
        <f t="shared" si="1"/>
        <v>79.8</v>
      </c>
      <c r="F27" s="47"/>
      <c r="G27" s="47"/>
      <c r="H27" s="47"/>
      <c r="I27" s="47"/>
    </row>
    <row r="28" spans="1:9" s="23" customFormat="1" ht="12.75">
      <c r="A28" s="48">
        <f t="shared" si="2"/>
        <v>-4</v>
      </c>
      <c r="B28" s="46">
        <f t="shared" si="2"/>
        <v>211</v>
      </c>
      <c r="C28" s="46">
        <f aca="true" t="shared" si="4" ref="C28:C34">IF(A28&lt;0,($F$6+A28)/$F$6,0)</f>
        <v>0.2</v>
      </c>
      <c r="D28" s="46">
        <f t="shared" si="3"/>
        <v>42.2</v>
      </c>
      <c r="E28" s="118">
        <f t="shared" si="1"/>
        <v>42.2</v>
      </c>
      <c r="F28" s="47"/>
      <c r="G28" s="47"/>
      <c r="H28" s="47"/>
      <c r="I28" s="47"/>
    </row>
    <row r="29" spans="1:9" s="23" customFormat="1" ht="12.75">
      <c r="A29" s="48">
        <f t="shared" si="2"/>
        <v>-5</v>
      </c>
      <c r="B29" s="46">
        <f t="shared" si="2"/>
        <v>89</v>
      </c>
      <c r="C29" s="46">
        <f t="shared" si="4"/>
        <v>0</v>
      </c>
      <c r="D29" s="46">
        <f t="shared" si="3"/>
        <v>0</v>
      </c>
      <c r="E29" s="118">
        <f t="shared" si="1"/>
        <v>17.8</v>
      </c>
      <c r="F29" s="47"/>
      <c r="G29" s="47"/>
      <c r="H29" s="47"/>
      <c r="I29" s="47"/>
    </row>
    <row r="30" spans="1:9" s="23" customFormat="1" ht="12.75">
      <c r="A30" s="48">
        <f t="shared" si="2"/>
        <v>0</v>
      </c>
      <c r="B30" s="46">
        <f t="shared" si="2"/>
        <v>0</v>
      </c>
      <c r="C30" s="46">
        <f t="shared" si="4"/>
        <v>0</v>
      </c>
      <c r="D30" s="46">
        <f t="shared" si="3"/>
        <v>0</v>
      </c>
      <c r="E30" s="118">
        <f t="shared" si="1"/>
        <v>0</v>
      </c>
      <c r="F30" s="47"/>
      <c r="G30" s="47"/>
      <c r="H30" s="47"/>
      <c r="I30" s="47"/>
    </row>
    <row r="31" spans="1:9" s="23" customFormat="1" ht="12.75">
      <c r="A31" s="48">
        <f t="shared" si="2"/>
        <v>0</v>
      </c>
      <c r="B31" s="46">
        <f t="shared" si="2"/>
        <v>0</v>
      </c>
      <c r="C31" s="46">
        <f t="shared" si="4"/>
        <v>0</v>
      </c>
      <c r="D31" s="46">
        <f t="shared" si="3"/>
        <v>0</v>
      </c>
      <c r="E31" s="118">
        <f t="shared" si="1"/>
        <v>0</v>
      </c>
      <c r="F31" s="47"/>
      <c r="G31" s="47"/>
      <c r="H31" s="47"/>
      <c r="I31" s="47"/>
    </row>
    <row r="32" spans="1:9" s="23" customFormat="1" ht="12.75">
      <c r="A32" s="48">
        <f t="shared" si="2"/>
        <v>0</v>
      </c>
      <c r="B32" s="46">
        <f t="shared" si="2"/>
        <v>0</v>
      </c>
      <c r="C32" s="46">
        <f t="shared" si="4"/>
        <v>0</v>
      </c>
      <c r="D32" s="46">
        <f t="shared" si="3"/>
        <v>0</v>
      </c>
      <c r="E32" s="118">
        <f t="shared" si="1"/>
        <v>0</v>
      </c>
      <c r="F32" s="47"/>
      <c r="G32" s="47"/>
      <c r="H32" s="47"/>
      <c r="I32" s="47"/>
    </row>
    <row r="33" spans="1:9" s="23" customFormat="1" ht="12.75">
      <c r="A33" s="48">
        <f t="shared" si="2"/>
        <v>0</v>
      </c>
      <c r="B33" s="46">
        <f t="shared" si="2"/>
        <v>0</v>
      </c>
      <c r="C33" s="46">
        <f t="shared" si="4"/>
        <v>0</v>
      </c>
      <c r="D33" s="46">
        <f t="shared" si="3"/>
        <v>0</v>
      </c>
      <c r="E33" s="118">
        <f t="shared" si="1"/>
        <v>0</v>
      </c>
      <c r="F33" s="47"/>
      <c r="G33" s="47"/>
      <c r="H33" s="47"/>
      <c r="I33" s="47"/>
    </row>
    <row r="34" spans="1:9" s="23" customFormat="1" ht="15.75" customHeight="1" thickBot="1">
      <c r="A34" s="48">
        <f t="shared" si="2"/>
        <v>0</v>
      </c>
      <c r="B34" s="46">
        <f t="shared" si="2"/>
        <v>0</v>
      </c>
      <c r="C34" s="46">
        <f t="shared" si="4"/>
        <v>0</v>
      </c>
      <c r="D34" s="52">
        <f t="shared" si="3"/>
        <v>0</v>
      </c>
      <c r="E34" s="119">
        <f t="shared" si="1"/>
        <v>0</v>
      </c>
      <c r="F34" s="47"/>
      <c r="G34" s="47"/>
      <c r="H34" s="47"/>
      <c r="I34" s="47"/>
    </row>
    <row r="35" spans="1:5" s="4" customFormat="1" ht="13.5" thickBot="1">
      <c r="A35" s="4" t="s">
        <v>142</v>
      </c>
      <c r="D35" s="45">
        <f>SUM(D24:D34)</f>
        <v>3035.4</v>
      </c>
      <c r="E35" s="116">
        <f>SUM(E25:E34)</f>
        <v>484.59999999999997</v>
      </c>
    </row>
    <row r="36" ht="13.5" thickBot="1"/>
    <row r="37" spans="1:4" s="4" customFormat="1" ht="13.5" thickBot="1">
      <c r="A37" s="4" t="s">
        <v>38</v>
      </c>
      <c r="D37" s="45">
        <f>E35</f>
        <v>484.59999999999997</v>
      </c>
    </row>
    <row r="38" s="4" customFormat="1" ht="13.5" thickBot="1"/>
    <row r="39" spans="1:5" s="4" customFormat="1" ht="12.75">
      <c r="A39" s="4" t="s">
        <v>223</v>
      </c>
      <c r="D39" s="63">
        <f>F7-D37</f>
        <v>1109.4</v>
      </c>
      <c r="E39" s="4" t="s">
        <v>465</v>
      </c>
    </row>
    <row r="40" spans="1:5" ht="12.75">
      <c r="A40" t="s">
        <v>407</v>
      </c>
      <c r="D40" s="64">
        <f>(F7-D37)*'Master Inputs Start here'!B15</f>
        <v>377.08506</v>
      </c>
      <c r="E40" s="4"/>
    </row>
    <row r="43" s="44" customFormat="1" ht="12">
      <c r="A43" s="44" t="s">
        <v>186</v>
      </c>
    </row>
    <row r="44" spans="1:2" s="4" customFormat="1" ht="12.75">
      <c r="A44" s="8" t="s">
        <v>365</v>
      </c>
      <c r="B44" s="8" t="s">
        <v>13</v>
      </c>
    </row>
    <row r="45" spans="1:2" s="4" customFormat="1" ht="12">
      <c r="A45" s="4" t="s">
        <v>410</v>
      </c>
      <c r="B45" s="4">
        <v>2</v>
      </c>
    </row>
    <row r="46" spans="1:6" s="4" customFormat="1" ht="12">
      <c r="A46" s="4" t="s">
        <v>463</v>
      </c>
      <c r="B46" s="4">
        <v>10</v>
      </c>
      <c r="D46" s="4" t="s">
        <v>477</v>
      </c>
      <c r="F46" s="4" t="s">
        <v>539</v>
      </c>
    </row>
    <row r="47" spans="1:6" s="4" customFormat="1" ht="12">
      <c r="A47" s="4" t="s">
        <v>324</v>
      </c>
      <c r="B47" s="4">
        <v>10</v>
      </c>
      <c r="D47" s="4" t="s">
        <v>540</v>
      </c>
      <c r="F47" s="4" t="s">
        <v>73</v>
      </c>
    </row>
    <row r="48" spans="1:6" s="4" customFormat="1" ht="12">
      <c r="A48" s="4" t="s">
        <v>325</v>
      </c>
      <c r="B48" s="4">
        <v>5</v>
      </c>
      <c r="D48" s="4" t="s">
        <v>127</v>
      </c>
      <c r="F48" s="4" t="s">
        <v>128</v>
      </c>
    </row>
    <row r="49" spans="1:6" s="4" customFormat="1" ht="12">
      <c r="A49" s="4" t="s">
        <v>133</v>
      </c>
      <c r="B49" s="4">
        <v>3</v>
      </c>
      <c r="D49" s="4" t="s">
        <v>363</v>
      </c>
      <c r="F49" s="4" t="s">
        <v>11</v>
      </c>
    </row>
    <row r="50" spans="1:6" s="4" customFormat="1" ht="12">
      <c r="A50" s="4" t="s">
        <v>85</v>
      </c>
      <c r="B50" s="4">
        <v>10</v>
      </c>
      <c r="D50" s="4" t="s">
        <v>436</v>
      </c>
      <c r="F50" s="4" t="s">
        <v>11</v>
      </c>
    </row>
    <row r="51" spans="1:6" s="4" customFormat="1" ht="12">
      <c r="A51" s="4" t="s">
        <v>208</v>
      </c>
      <c r="B51" s="4">
        <v>5</v>
      </c>
      <c r="D51" s="4" t="s">
        <v>227</v>
      </c>
      <c r="F51" s="4" t="s">
        <v>11</v>
      </c>
    </row>
    <row r="52" spans="1:2" s="4" customFormat="1" ht="12">
      <c r="A52" s="4" t="s">
        <v>242</v>
      </c>
      <c r="B52" s="4">
        <v>5</v>
      </c>
    </row>
    <row r="53" spans="1:2" s="4" customFormat="1" ht="12">
      <c r="A53" s="4" t="s">
        <v>243</v>
      </c>
      <c r="B53" s="4">
        <v>2</v>
      </c>
    </row>
    <row r="54" spans="1:2" s="4" customFormat="1" ht="12">
      <c r="A54" s="4" t="s">
        <v>434</v>
      </c>
      <c r="B54" s="4">
        <v>2</v>
      </c>
    </row>
    <row r="55" spans="1:2" s="4" customFormat="1" ht="12">
      <c r="A55" s="4" t="s">
        <v>150</v>
      </c>
      <c r="B55" s="4">
        <v>2</v>
      </c>
    </row>
    <row r="56" spans="1:2" s="4" customFormat="1" ht="12">
      <c r="A56" s="4" t="s">
        <v>151</v>
      </c>
      <c r="B56" s="4">
        <v>2</v>
      </c>
    </row>
    <row r="57" spans="1:2" s="4" customFormat="1" ht="12">
      <c r="A57" s="4" t="s">
        <v>152</v>
      </c>
      <c r="B57" s="4">
        <v>3</v>
      </c>
    </row>
    <row r="58" spans="1:2" s="4" customFormat="1" ht="12">
      <c r="A58" s="4" t="s">
        <v>96</v>
      </c>
      <c r="B58" s="4">
        <v>3</v>
      </c>
    </row>
    <row r="59" spans="1:2" s="4" customFormat="1" ht="12">
      <c r="A59" s="4" t="s">
        <v>97</v>
      </c>
      <c r="B59" s="4">
        <v>5</v>
      </c>
    </row>
    <row r="60" spans="1:2" s="4" customFormat="1" ht="12">
      <c r="A60" s="4" t="s">
        <v>98</v>
      </c>
      <c r="B60" s="4">
        <v>10</v>
      </c>
    </row>
    <row r="61" spans="1:2" s="4" customFormat="1" ht="12">
      <c r="A61" s="4" t="s">
        <v>99</v>
      </c>
      <c r="B61" s="4">
        <v>10</v>
      </c>
    </row>
    <row r="62" spans="1:2" s="4" customFormat="1" ht="12">
      <c r="A62" s="4" t="s">
        <v>24</v>
      </c>
      <c r="B62" s="4">
        <v>10</v>
      </c>
    </row>
    <row r="63" spans="1:2" s="4" customFormat="1" ht="12">
      <c r="A63" s="4" t="s">
        <v>504</v>
      </c>
      <c r="B63" s="4">
        <v>10</v>
      </c>
    </row>
    <row r="64" spans="1:2" s="4" customFormat="1" ht="12">
      <c r="A64" s="4" t="s">
        <v>209</v>
      </c>
      <c r="B64" s="4">
        <v>10</v>
      </c>
    </row>
    <row r="65" spans="1:2" s="4" customFormat="1" ht="12">
      <c r="A65" s="4" t="s">
        <v>145</v>
      </c>
      <c r="B65" s="4">
        <v>10</v>
      </c>
    </row>
    <row r="66" spans="1:2" s="4" customFormat="1" ht="12">
      <c r="A66" s="4" t="s">
        <v>146</v>
      </c>
      <c r="B66" s="4">
        <v>5</v>
      </c>
    </row>
    <row r="67" spans="1:2" s="4" customFormat="1" ht="12">
      <c r="A67" s="4" t="s">
        <v>391</v>
      </c>
      <c r="B67" s="4">
        <v>5</v>
      </c>
    </row>
    <row r="68" spans="1:2" s="4" customFormat="1" ht="12">
      <c r="A68" s="4" t="s">
        <v>392</v>
      </c>
      <c r="B68" s="4">
        <v>3</v>
      </c>
    </row>
    <row r="69" spans="1:2" s="4" customFormat="1" ht="12">
      <c r="A69" s="4" t="s">
        <v>393</v>
      </c>
      <c r="B69" s="4">
        <v>5</v>
      </c>
    </row>
    <row r="70" spans="1:2" s="4" customFormat="1" ht="12">
      <c r="A70" s="4" t="s">
        <v>388</v>
      </c>
      <c r="B70" s="4">
        <v>5</v>
      </c>
    </row>
    <row r="71" spans="1:2" s="4" customFormat="1" ht="12">
      <c r="A71" s="4" t="s">
        <v>389</v>
      </c>
      <c r="B71" s="4">
        <v>10</v>
      </c>
    </row>
    <row r="72" spans="1:2" s="4" customFormat="1" ht="12">
      <c r="A72" s="4" t="s">
        <v>259</v>
      </c>
      <c r="B72" s="4">
        <v>3</v>
      </c>
    </row>
    <row r="73" spans="1:2" s="4" customFormat="1" ht="12">
      <c r="A73" s="4" t="s">
        <v>260</v>
      </c>
      <c r="B73" s="4">
        <v>3</v>
      </c>
    </row>
    <row r="74" spans="1:2" s="4" customFormat="1" ht="12">
      <c r="A74" s="4" t="s">
        <v>356</v>
      </c>
      <c r="B74" s="4">
        <v>10</v>
      </c>
    </row>
    <row r="75" spans="1:2" s="4" customFormat="1" ht="12">
      <c r="A75" s="4" t="s">
        <v>40</v>
      </c>
      <c r="B75" s="4">
        <v>10</v>
      </c>
    </row>
    <row r="76" spans="1:2" s="4" customFormat="1" ht="12">
      <c r="A76" s="4" t="s">
        <v>549</v>
      </c>
      <c r="B76" s="4">
        <v>10</v>
      </c>
    </row>
    <row r="77" spans="1:2" s="4" customFormat="1" ht="12">
      <c r="A77" s="4" t="s">
        <v>353</v>
      </c>
      <c r="B77" s="4">
        <v>10</v>
      </c>
    </row>
    <row r="78" spans="1:2" s="4" customFormat="1" ht="12">
      <c r="A78" s="4" t="s">
        <v>323</v>
      </c>
      <c r="B78" s="4">
        <v>5</v>
      </c>
    </row>
    <row r="79" spans="1:2" s="4" customFormat="1" ht="12">
      <c r="A79" s="4" t="s">
        <v>408</v>
      </c>
      <c r="B79" s="4">
        <v>3</v>
      </c>
    </row>
    <row r="80" spans="1:2" s="4" customFormat="1" ht="12">
      <c r="A80" s="4" t="s">
        <v>367</v>
      </c>
      <c r="B80" s="4">
        <v>5</v>
      </c>
    </row>
    <row r="81" spans="1:2" s="4" customFormat="1" ht="12">
      <c r="A81" s="4" t="s">
        <v>52</v>
      </c>
      <c r="B81" s="4">
        <v>2</v>
      </c>
    </row>
    <row r="82" spans="1:2" s="4" customFormat="1" ht="12">
      <c r="A82" s="4" t="s">
        <v>547</v>
      </c>
      <c r="B82" s="4">
        <v>3</v>
      </c>
    </row>
    <row r="83" spans="1:2" s="4" customFormat="1" ht="12">
      <c r="A83" s="4" t="s">
        <v>247</v>
      </c>
      <c r="B83" s="4">
        <v>3</v>
      </c>
    </row>
    <row r="84" spans="1:2" s="4" customFormat="1" ht="12">
      <c r="A84" s="4" t="s">
        <v>42</v>
      </c>
      <c r="B84" s="4">
        <v>5</v>
      </c>
    </row>
    <row r="85" spans="1:2" s="4" customFormat="1" ht="12">
      <c r="A85" s="4" t="s">
        <v>9</v>
      </c>
      <c r="B85" s="4">
        <v>10</v>
      </c>
    </row>
    <row r="86" spans="1:2" s="4" customFormat="1" ht="12">
      <c r="A86" s="4" t="s">
        <v>61</v>
      </c>
      <c r="B86" s="4">
        <v>3</v>
      </c>
    </row>
    <row r="87" spans="1:2" s="4" customFormat="1" ht="12">
      <c r="A87" s="4" t="s">
        <v>416</v>
      </c>
      <c r="B87" s="4">
        <v>5</v>
      </c>
    </row>
    <row r="88" spans="1:2" s="4" customFormat="1" ht="12">
      <c r="A88" s="4" t="s">
        <v>417</v>
      </c>
      <c r="B88" s="4">
        <v>2</v>
      </c>
    </row>
    <row r="89" spans="1:2" s="4" customFormat="1" ht="12">
      <c r="A89" s="4" t="s">
        <v>418</v>
      </c>
      <c r="B89" s="4">
        <v>3</v>
      </c>
    </row>
    <row r="90" spans="1:2" s="4" customFormat="1" ht="12">
      <c r="A90" s="4" t="s">
        <v>107</v>
      </c>
      <c r="B90" s="4">
        <v>5</v>
      </c>
    </row>
    <row r="91" spans="1:2" s="4" customFormat="1" ht="12">
      <c r="A91" s="4" t="s">
        <v>225</v>
      </c>
      <c r="B91" s="4">
        <v>5</v>
      </c>
    </row>
    <row r="92" spans="1:2" s="4" customFormat="1" ht="12">
      <c r="A92" s="4" t="s">
        <v>226</v>
      </c>
      <c r="B92" s="4">
        <v>3</v>
      </c>
    </row>
    <row r="93" spans="1:2" s="4" customFormat="1" ht="12">
      <c r="A93" s="4" t="s">
        <v>474</v>
      </c>
      <c r="B93" s="4">
        <v>3</v>
      </c>
    </row>
    <row r="94" spans="1:2" s="4" customFormat="1" ht="12">
      <c r="A94" s="4" t="s">
        <v>45</v>
      </c>
      <c r="B94" s="4">
        <v>3</v>
      </c>
    </row>
    <row r="95" spans="1:2" s="4" customFormat="1" ht="12">
      <c r="A95" s="4" t="s">
        <v>384</v>
      </c>
      <c r="B95" s="4">
        <v>3</v>
      </c>
    </row>
    <row r="96" spans="1:2" s="4" customFormat="1" ht="12">
      <c r="A96" s="4" t="s">
        <v>516</v>
      </c>
      <c r="B96" s="4">
        <v>3</v>
      </c>
    </row>
    <row r="97" spans="1:2" s="4" customFormat="1" ht="12">
      <c r="A97" s="4" t="s">
        <v>295</v>
      </c>
      <c r="B97" s="4">
        <v>3</v>
      </c>
    </row>
    <row r="98" spans="1:2" s="4" customFormat="1" ht="12">
      <c r="A98" s="4" t="s">
        <v>296</v>
      </c>
      <c r="B98" s="4">
        <v>3</v>
      </c>
    </row>
    <row r="99" spans="1:2" s="4" customFormat="1" ht="12">
      <c r="A99" s="4" t="s">
        <v>19</v>
      </c>
      <c r="B99" s="4">
        <v>3</v>
      </c>
    </row>
    <row r="100" spans="1:2" s="4" customFormat="1" ht="12">
      <c r="A100" s="4" t="s">
        <v>20</v>
      </c>
      <c r="B100" s="4">
        <v>3</v>
      </c>
    </row>
    <row r="101" spans="1:2" s="4" customFormat="1" ht="12">
      <c r="A101" s="4" t="s">
        <v>21</v>
      </c>
      <c r="B101" s="4">
        <v>3</v>
      </c>
    </row>
    <row r="102" spans="1:2" s="4" customFormat="1" ht="12">
      <c r="A102" s="4" t="s">
        <v>22</v>
      </c>
      <c r="B102" s="4">
        <v>10</v>
      </c>
    </row>
    <row r="103" spans="1:2" s="4" customFormat="1" ht="12">
      <c r="A103" s="4" t="s">
        <v>39</v>
      </c>
      <c r="B103" s="4">
        <v>5</v>
      </c>
    </row>
    <row r="104" spans="1:2" s="4" customFormat="1" ht="12">
      <c r="A104" s="4" t="s">
        <v>341</v>
      </c>
      <c r="B104" s="4">
        <v>10</v>
      </c>
    </row>
    <row r="105" spans="1:2" s="4" customFormat="1" ht="12">
      <c r="A105" s="4" t="s">
        <v>210</v>
      </c>
      <c r="B105" s="4">
        <v>3</v>
      </c>
    </row>
    <row r="106" spans="1:2" s="4" customFormat="1" ht="12">
      <c r="A106" s="4" t="s">
        <v>428</v>
      </c>
      <c r="B106" s="4">
        <v>5</v>
      </c>
    </row>
    <row r="107" spans="1:2" s="4" customFormat="1" ht="12">
      <c r="A107" s="4" t="s">
        <v>308</v>
      </c>
      <c r="B107" s="4">
        <v>10</v>
      </c>
    </row>
    <row r="108" spans="1:2" s="4" customFormat="1" ht="12">
      <c r="A108" s="4" t="s">
        <v>309</v>
      </c>
      <c r="B108" s="4">
        <v>5</v>
      </c>
    </row>
    <row r="109" spans="1:2" s="4" customFormat="1" ht="12">
      <c r="A109" s="4" t="s">
        <v>103</v>
      </c>
      <c r="B109" s="4">
        <v>10</v>
      </c>
    </row>
    <row r="110" spans="1:2" s="4" customFormat="1" ht="12">
      <c r="A110" s="4" t="s">
        <v>81</v>
      </c>
      <c r="B110" s="4">
        <v>10</v>
      </c>
    </row>
    <row r="111" spans="1:2" s="4" customFormat="1" ht="12">
      <c r="A111" s="4" t="s">
        <v>82</v>
      </c>
      <c r="B111" s="4">
        <v>3</v>
      </c>
    </row>
    <row r="112" spans="1:2" s="4" customFormat="1" ht="12">
      <c r="A112" s="4" t="s">
        <v>138</v>
      </c>
      <c r="B112" s="4">
        <v>5</v>
      </c>
    </row>
    <row r="113" spans="1:2" s="4" customFormat="1" ht="12">
      <c r="A113" s="4" t="s">
        <v>262</v>
      </c>
      <c r="B113" s="4">
        <v>5</v>
      </c>
    </row>
    <row r="114" spans="1:2" s="4" customFormat="1" ht="12">
      <c r="A114" s="4" t="s">
        <v>84</v>
      </c>
      <c r="B114" s="4">
        <v>5</v>
      </c>
    </row>
    <row r="115" spans="1:2" s="4" customFormat="1" ht="12">
      <c r="A115" s="4" t="s">
        <v>348</v>
      </c>
      <c r="B115" s="4">
        <v>10</v>
      </c>
    </row>
    <row r="116" spans="1:2" s="4" customFormat="1" ht="12">
      <c r="A116" s="4" t="s">
        <v>349</v>
      </c>
      <c r="B116" s="4">
        <v>5</v>
      </c>
    </row>
    <row r="117" spans="1:2" s="4" customFormat="1" ht="12">
      <c r="A117" s="4" t="s">
        <v>400</v>
      </c>
      <c r="B117" s="4">
        <v>5</v>
      </c>
    </row>
    <row r="118" spans="1:2" s="4" customFormat="1" ht="12">
      <c r="A118" s="4" t="s">
        <v>251</v>
      </c>
      <c r="B118" s="4">
        <v>5</v>
      </c>
    </row>
    <row r="119" spans="1:2" s="4" customFormat="1" ht="12">
      <c r="A119" s="4" t="s">
        <v>252</v>
      </c>
      <c r="B119" s="4">
        <v>3</v>
      </c>
    </row>
    <row r="120" spans="1:2" s="4" customFormat="1" ht="12">
      <c r="A120" s="4" t="s">
        <v>480</v>
      </c>
      <c r="B120" s="4">
        <v>3</v>
      </c>
    </row>
    <row r="121" spans="1:2" s="4" customFormat="1" ht="12">
      <c r="A121" s="4" t="s">
        <v>481</v>
      </c>
      <c r="B121" s="4">
        <v>5</v>
      </c>
    </row>
    <row r="122" spans="1:2" s="4" customFormat="1" ht="12">
      <c r="A122" s="4" t="s">
        <v>343</v>
      </c>
      <c r="B122" s="4">
        <v>5</v>
      </c>
    </row>
    <row r="123" spans="1:2" s="4" customFormat="1" ht="12">
      <c r="A123" s="4" t="s">
        <v>344</v>
      </c>
      <c r="B123" s="4">
        <v>2</v>
      </c>
    </row>
    <row r="124" spans="1:2" s="4" customFormat="1" ht="12">
      <c r="A124" s="4" t="s">
        <v>317</v>
      </c>
      <c r="B124" s="4">
        <v>2</v>
      </c>
    </row>
    <row r="125" spans="1:2" s="4" customFormat="1" ht="12">
      <c r="A125" s="4" t="s">
        <v>318</v>
      </c>
      <c r="B125" s="4">
        <v>2</v>
      </c>
    </row>
    <row r="126" spans="1:2" s="4" customFormat="1" ht="12">
      <c r="A126" s="4" t="s">
        <v>319</v>
      </c>
      <c r="B126" s="4">
        <v>2</v>
      </c>
    </row>
    <row r="127" spans="1:2" s="4" customFormat="1" ht="12">
      <c r="A127" s="4" t="s">
        <v>320</v>
      </c>
      <c r="B127" s="4">
        <v>2</v>
      </c>
    </row>
    <row r="128" spans="1:2" s="4" customFormat="1" ht="12">
      <c r="A128" s="4" t="s">
        <v>134</v>
      </c>
      <c r="B128" s="4">
        <v>5</v>
      </c>
    </row>
    <row r="129" spans="1:2" s="4" customFormat="1" ht="12">
      <c r="A129" s="4" t="s">
        <v>135</v>
      </c>
      <c r="B129" s="4">
        <v>5</v>
      </c>
    </row>
    <row r="130" spans="1:2" s="4" customFormat="1" ht="12">
      <c r="A130" s="4" t="s">
        <v>136</v>
      </c>
      <c r="B130" s="4">
        <v>3</v>
      </c>
    </row>
    <row r="131" spans="1:2" s="4" customFormat="1" ht="12">
      <c r="A131" s="4" t="s">
        <v>104</v>
      </c>
      <c r="B131" s="4">
        <v>5</v>
      </c>
    </row>
    <row r="132" spans="1:2" s="4" customFormat="1" ht="12">
      <c r="A132" s="4" t="s">
        <v>218</v>
      </c>
      <c r="B132" s="4">
        <v>5</v>
      </c>
    </row>
    <row r="133" spans="1:2" s="4" customFormat="1" ht="12">
      <c r="A133" s="4" t="s">
        <v>3</v>
      </c>
      <c r="B133" s="4">
        <v>10</v>
      </c>
    </row>
    <row r="134" spans="1:2" s="4" customFormat="1" ht="12">
      <c r="A134" s="4" t="s">
        <v>546</v>
      </c>
      <c r="B134" s="4">
        <v>5</v>
      </c>
    </row>
    <row r="135" spans="1:2" s="4" customFormat="1" ht="12">
      <c r="A135" s="4" t="s">
        <v>300</v>
      </c>
      <c r="B135" s="4">
        <v>5</v>
      </c>
    </row>
    <row r="136" spans="1:2" s="4" customFormat="1" ht="12">
      <c r="A136" s="4" t="s">
        <v>438</v>
      </c>
      <c r="B136" s="4">
        <v>2</v>
      </c>
    </row>
    <row r="137" spans="1:2" s="4" customFormat="1" ht="12">
      <c r="A137" s="4" t="s">
        <v>340</v>
      </c>
      <c r="B137" s="4">
        <v>5</v>
      </c>
    </row>
    <row r="138" spans="1:2" s="4" customFormat="1" ht="12">
      <c r="A138" s="4" t="s">
        <v>548</v>
      </c>
      <c r="B138" s="4">
        <v>5</v>
      </c>
    </row>
    <row r="139" spans="1:2" s="4" customFormat="1" ht="12">
      <c r="A139" s="4" t="s">
        <v>339</v>
      </c>
      <c r="B139" s="4">
        <v>3</v>
      </c>
    </row>
    <row r="140" spans="1:2" s="4" customFormat="1" ht="12">
      <c r="A140" s="4" t="s">
        <v>286</v>
      </c>
      <c r="B140" s="4">
        <v>5</v>
      </c>
    </row>
    <row r="141" spans="1:2" s="4" customFormat="1" ht="12">
      <c r="A141" s="4" t="s">
        <v>380</v>
      </c>
      <c r="B141" s="4">
        <v>10</v>
      </c>
    </row>
    <row r="142" spans="1:2" s="4" customFormat="1" ht="12">
      <c r="A142" s="4" t="s">
        <v>413</v>
      </c>
      <c r="B142" s="4">
        <v>10</v>
      </c>
    </row>
  </sheetData>
  <conditionalFormatting sqref="B11:B20">
    <cfRule type="cellIs" priority="1" dxfId="0" operator="equal" stopIfTrue="1">
      <formula>0</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K35"/>
  <sheetViews>
    <sheetView workbookViewId="0" topLeftCell="A1">
      <selection activeCell="D20" sqref="D20"/>
    </sheetView>
  </sheetViews>
  <sheetFormatPr defaultColWidth="11.00390625" defaultRowHeight="12.75"/>
  <sheetData>
    <row r="1" spans="1:11" s="24" customFormat="1" ht="15">
      <c r="A1" s="19" t="s">
        <v>140</v>
      </c>
      <c r="B1" s="19"/>
      <c r="C1" s="19"/>
      <c r="D1" s="19"/>
      <c r="E1" s="19"/>
      <c r="F1" s="19"/>
      <c r="G1" s="19"/>
      <c r="H1" s="19"/>
      <c r="I1" s="19"/>
      <c r="J1" s="19"/>
      <c r="K1" s="19"/>
    </row>
    <row r="2" s="7" customFormat="1" ht="12">
      <c r="A2" s="7" t="s">
        <v>141</v>
      </c>
    </row>
    <row r="3" spans="1:5" s="4" customFormat="1" ht="12">
      <c r="A3" s="4" t="s">
        <v>28</v>
      </c>
      <c r="E3" s="87">
        <v>121</v>
      </c>
    </row>
    <row r="4" s="8" customFormat="1" ht="12">
      <c r="A4" s="8" t="s">
        <v>88</v>
      </c>
    </row>
    <row r="5" spans="1:3" s="4" customFormat="1" ht="12">
      <c r="A5" s="12" t="s">
        <v>321</v>
      </c>
      <c r="B5" s="12" t="s">
        <v>18</v>
      </c>
      <c r="C5" s="4" t="s">
        <v>125</v>
      </c>
    </row>
    <row r="6" spans="1:2" s="4" customFormat="1" ht="12">
      <c r="A6" s="12">
        <v>1</v>
      </c>
      <c r="B6" s="89">
        <v>156</v>
      </c>
    </row>
    <row r="7" spans="1:2" s="4" customFormat="1" ht="12">
      <c r="A7" s="12">
        <v>2</v>
      </c>
      <c r="B7" s="89">
        <v>143</v>
      </c>
    </row>
    <row r="8" spans="1:2" s="4" customFormat="1" ht="12">
      <c r="A8" s="12">
        <v>3</v>
      </c>
      <c r="B8" s="89">
        <v>122</v>
      </c>
    </row>
    <row r="9" spans="1:2" s="4" customFormat="1" ht="12">
      <c r="A9" s="12">
        <v>4</v>
      </c>
      <c r="B9" s="89">
        <v>109</v>
      </c>
    </row>
    <row r="10" spans="1:2" s="4" customFormat="1" ht="12">
      <c r="A10" s="12">
        <v>5</v>
      </c>
      <c r="B10" s="89">
        <v>97</v>
      </c>
    </row>
    <row r="11" spans="1:2" s="4" customFormat="1" ht="12">
      <c r="A11" s="12" t="s">
        <v>126</v>
      </c>
      <c r="B11" s="89">
        <v>448</v>
      </c>
    </row>
    <row r="12" s="4" customFormat="1" ht="12"/>
    <row r="13" s="53" customFormat="1" ht="13.5" thickBot="1">
      <c r="A13" s="53" t="s">
        <v>515</v>
      </c>
    </row>
    <row r="14" spans="1:4" s="4" customFormat="1" ht="12.75" thickBot="1">
      <c r="A14" s="4" t="s">
        <v>206</v>
      </c>
      <c r="C14" s="68">
        <f>IF('Master Inputs Start here'!B43="Yes",'Ratings estimator'!D10,'Master Inputs Start here'!B46)</f>
        <v>0.1225</v>
      </c>
      <c r="D14" s="4" t="s">
        <v>95</v>
      </c>
    </row>
    <row r="15" s="4" customFormat="1" ht="12"/>
    <row r="16" s="8" customFormat="1" ht="12">
      <c r="A16" s="8" t="s">
        <v>276</v>
      </c>
    </row>
    <row r="17" spans="1:5" s="4" customFormat="1" ht="12">
      <c r="A17" s="4" t="s">
        <v>277</v>
      </c>
      <c r="D17" s="69">
        <f>'Master Inputs Start here'!B10</f>
        <v>17527</v>
      </c>
      <c r="E17" s="4" t="s">
        <v>64</v>
      </c>
    </row>
    <row r="18" spans="1:5" s="4" customFormat="1" ht="12">
      <c r="A18" s="4" t="s">
        <v>284</v>
      </c>
      <c r="D18" s="69">
        <f>'Master Inputs Start here'!B31</f>
        <v>109197.99095987178</v>
      </c>
      <c r="E18" s="4" t="s">
        <v>71</v>
      </c>
    </row>
    <row r="19" s="4" customFormat="1" ht="12">
      <c r="D19" s="42"/>
    </row>
    <row r="20" spans="1:5" s="4" customFormat="1" ht="12">
      <c r="A20" s="4" t="s">
        <v>307</v>
      </c>
      <c r="D20" s="70">
        <f>IF(B11&gt;0,INT(B11/AVERAGE(B6:B10)),0)</f>
        <v>3</v>
      </c>
      <c r="E20" s="4" t="s">
        <v>379</v>
      </c>
    </row>
    <row r="21" s="7" customFormat="1" ht="12">
      <c r="E21" s="4" t="s">
        <v>156</v>
      </c>
    </row>
    <row r="22" s="8" customFormat="1" ht="12">
      <c r="A22" s="8" t="s">
        <v>157</v>
      </c>
    </row>
    <row r="23" spans="1:3" s="4" customFormat="1" ht="12">
      <c r="A23" s="12" t="s">
        <v>321</v>
      </c>
      <c r="B23" s="12" t="s">
        <v>18</v>
      </c>
      <c r="C23" s="12" t="s">
        <v>420</v>
      </c>
    </row>
    <row r="24" spans="1:3" s="4" customFormat="1" ht="12">
      <c r="A24" s="11">
        <f>A6</f>
        <v>1</v>
      </c>
      <c r="B24" s="71">
        <f>B6</f>
        <v>156</v>
      </c>
      <c r="C24" s="69">
        <f>B24/(1+$C$14)^A24</f>
        <v>138.97550111358575</v>
      </c>
    </row>
    <row r="25" spans="1:3" s="4" customFormat="1" ht="12">
      <c r="A25" s="11">
        <f aca="true" t="shared" si="0" ref="A25:B28">A7</f>
        <v>2</v>
      </c>
      <c r="B25" s="71">
        <f t="shared" si="0"/>
        <v>143</v>
      </c>
      <c r="C25" s="69">
        <f>B25/(1+$C$14)^A25</f>
        <v>113.49150053819176</v>
      </c>
    </row>
    <row r="26" spans="1:3" s="4" customFormat="1" ht="12">
      <c r="A26" s="11">
        <f t="shared" si="0"/>
        <v>3</v>
      </c>
      <c r="B26" s="71">
        <f t="shared" si="0"/>
        <v>122</v>
      </c>
      <c r="C26" s="69">
        <f>B26/(1+$C$14)^A26</f>
        <v>86.25827754394003</v>
      </c>
    </row>
    <row r="27" spans="1:3" s="4" customFormat="1" ht="12">
      <c r="A27" s="11">
        <f t="shared" si="0"/>
        <v>4</v>
      </c>
      <c r="B27" s="71">
        <f t="shared" si="0"/>
        <v>109</v>
      </c>
      <c r="C27" s="69">
        <f>B27/(1+$C$14)^A27</f>
        <v>68.65641134973501</v>
      </c>
    </row>
    <row r="28" spans="1:3" s="4" customFormat="1" ht="12">
      <c r="A28" s="11">
        <f t="shared" si="0"/>
        <v>5</v>
      </c>
      <c r="B28" s="71">
        <f t="shared" si="0"/>
        <v>97</v>
      </c>
      <c r="C28" s="69">
        <f>B28/(1+$C$14)^A28</f>
        <v>54.43020699147378</v>
      </c>
    </row>
    <row r="29" spans="1:4" s="4" customFormat="1" ht="12.75" thickBot="1">
      <c r="A29" s="43" t="str">
        <f>A11</f>
        <v>6 and beyond</v>
      </c>
      <c r="B29" s="72">
        <f>IF(B11&gt;0,IF(D20&gt;0,B11/D20,B11),0)</f>
        <v>149.33333333333334</v>
      </c>
      <c r="C29" s="73">
        <f>IF(D20&gt;0,(B29*(1-(1+C14)^(-D20))/C14)/(1+$C$14)^5,B29/(1+C14)^5)</f>
        <v>200.4031619900201</v>
      </c>
      <c r="D29" s="4" t="s">
        <v>275</v>
      </c>
    </row>
    <row r="30" spans="1:3" s="4" customFormat="1" ht="12.75" thickBot="1">
      <c r="A30" s="25" t="s">
        <v>350</v>
      </c>
      <c r="B30" s="74"/>
      <c r="C30" s="75">
        <f>SUM(C24:C29)</f>
        <v>662.2150595269464</v>
      </c>
    </row>
    <row r="31" s="4" customFormat="1" ht="12"/>
    <row r="32" s="4" customFormat="1" ht="12">
      <c r="A32" s="8" t="s">
        <v>216</v>
      </c>
    </row>
    <row r="33" spans="1:7" s="4" customFormat="1" ht="12">
      <c r="A33" s="4" t="s">
        <v>235</v>
      </c>
      <c r="F33" s="69">
        <f>C30/(5+D20)</f>
        <v>82.7768824408683</v>
      </c>
      <c r="G33" s="4" t="s">
        <v>429</v>
      </c>
    </row>
    <row r="34" spans="1:7" s="4" customFormat="1" ht="12.75" thickBot="1">
      <c r="A34" s="4" t="s">
        <v>132</v>
      </c>
      <c r="F34" s="76">
        <f>C30*C14</f>
        <v>81.12134479205093</v>
      </c>
      <c r="G34" s="4" t="s">
        <v>456</v>
      </c>
    </row>
    <row r="35" spans="1:6" s="4" customFormat="1" ht="12.75" thickBot="1">
      <c r="A35" s="4" t="s">
        <v>59</v>
      </c>
      <c r="F35" s="77">
        <f>C30</f>
        <v>662.2150595269464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16"/>
  <sheetViews>
    <sheetView workbookViewId="0" topLeftCell="A1">
      <selection activeCell="E11" sqref="E11:E16"/>
    </sheetView>
  </sheetViews>
  <sheetFormatPr defaultColWidth="11.00390625" defaultRowHeight="12.75"/>
  <cols>
    <col min="1" max="1" width="27.75390625" style="0" bestFit="1" customWidth="1"/>
    <col min="2" max="2" width="10.00390625" style="0" customWidth="1"/>
    <col min="3" max="3" width="14.125" style="0" bestFit="1" customWidth="1"/>
    <col min="4" max="4" width="8.875" style="0" bestFit="1" customWidth="1"/>
    <col min="5" max="5" width="10.875" style="0" bestFit="1" customWidth="1"/>
  </cols>
  <sheetData>
    <row r="1" spans="1:2" ht="12.75">
      <c r="A1" t="s">
        <v>532</v>
      </c>
      <c r="B1" s="126">
        <f>'Valuation Model'!S46</f>
        <v>45277.64590546776</v>
      </c>
    </row>
    <row r="2" spans="1:2" ht="12.75">
      <c r="A2" t="s">
        <v>528</v>
      </c>
      <c r="B2" s="125">
        <f>'Valuation Model'!D54</f>
        <v>0.05</v>
      </c>
    </row>
    <row r="3" spans="1:2" ht="12.75">
      <c r="A3" t="s">
        <v>529</v>
      </c>
      <c r="B3" s="125">
        <f>'Valuation Model'!D61</f>
        <v>0.10392254237062262</v>
      </c>
    </row>
    <row r="4" spans="1:2" ht="12.75">
      <c r="A4" t="s">
        <v>530</v>
      </c>
      <c r="B4" s="125">
        <v>0.12</v>
      </c>
    </row>
    <row r="6" spans="1:2" ht="12.75">
      <c r="A6" t="s">
        <v>43</v>
      </c>
      <c r="B6" s="125">
        <f>B2/B4</f>
        <v>0.4166666666666667</v>
      </c>
    </row>
    <row r="7" spans="1:2" ht="12.75">
      <c r="A7" t="s">
        <v>531</v>
      </c>
      <c r="B7" s="137">
        <f>B1*(1-B6)/(B3-B2)</f>
        <v>489812.96041249495</v>
      </c>
    </row>
    <row r="10" spans="2:5" ht="12.75">
      <c r="B10" s="138" t="s">
        <v>188</v>
      </c>
      <c r="C10" s="138" t="s">
        <v>261</v>
      </c>
      <c r="D10" s="138" t="s">
        <v>189</v>
      </c>
      <c r="E10" s="138" t="s">
        <v>199</v>
      </c>
    </row>
    <row r="11" spans="2:5" ht="12.75">
      <c r="B11" s="139">
        <v>0</v>
      </c>
      <c r="C11" s="140">
        <v>0</v>
      </c>
      <c r="D11" s="156">
        <f>B1</f>
        <v>45277.64590546776</v>
      </c>
      <c r="E11" s="199">
        <f aca="true" t="shared" si="0" ref="E11:E16">D11/($B$3-B11)</f>
        <v>435686.47256523516</v>
      </c>
    </row>
    <row r="12" spans="2:5" ht="12.75">
      <c r="B12" s="139">
        <v>0.01</v>
      </c>
      <c r="C12" s="140">
        <f>B12/$B$4</f>
        <v>0.08333333333333334</v>
      </c>
      <c r="D12" s="156">
        <f>$B$1*(1-C12)</f>
        <v>41504.50874667878</v>
      </c>
      <c r="E12" s="199">
        <f t="shared" si="0"/>
        <v>441901.46155648236</v>
      </c>
    </row>
    <row r="13" spans="2:5" ht="12.75">
      <c r="B13" s="139">
        <v>0.02</v>
      </c>
      <c r="C13" s="140">
        <f>B13/$B$4</f>
        <v>0.16666666666666669</v>
      </c>
      <c r="D13" s="156">
        <f>$B$1*(1-C13)</f>
        <v>37731.3715878898</v>
      </c>
      <c r="E13" s="199">
        <f t="shared" si="0"/>
        <v>449597.5755984461</v>
      </c>
    </row>
    <row r="14" spans="2:5" ht="12.75">
      <c r="B14" s="139">
        <v>0.03</v>
      </c>
      <c r="C14" s="140">
        <f>B14/$B$4</f>
        <v>0.25</v>
      </c>
      <c r="D14" s="156">
        <f>$B$1*(1-C14)</f>
        <v>33958.23442910082</v>
      </c>
      <c r="E14" s="199">
        <f t="shared" si="0"/>
        <v>459375.8999635824</v>
      </c>
    </row>
    <row r="15" spans="2:5" ht="12.75">
      <c r="B15" s="139">
        <v>0.04</v>
      </c>
      <c r="C15" s="140">
        <f>B15/$B$4</f>
        <v>0.33333333333333337</v>
      </c>
      <c r="D15" s="156">
        <f>$B$1*(1-C15)</f>
        <v>30185.09727031184</v>
      </c>
      <c r="E15" s="199">
        <f t="shared" si="0"/>
        <v>472213.6534448017</v>
      </c>
    </row>
    <row r="16" spans="2:5" ht="12.75">
      <c r="B16" s="139">
        <v>0.05</v>
      </c>
      <c r="C16" s="155">
        <f>B16/$B$4</f>
        <v>0.4166666666666667</v>
      </c>
      <c r="D16" s="157">
        <f>$B$1*(1-C16)</f>
        <v>26411.960111522858</v>
      </c>
      <c r="E16" s="199">
        <f t="shared" si="0"/>
        <v>489812.96041249495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Aswath Damodaran</cp:lastModifiedBy>
  <cp:lastPrinted>2010-04-06T18:38:08Z</cp:lastPrinted>
  <dcterms:created xsi:type="dcterms:W3CDTF">1999-04-05T16:05:46Z</dcterms:created>
  <dcterms:modified xsi:type="dcterms:W3CDTF">2010-05-27T07:39:52Z</dcterms:modified>
  <cp:category/>
  <cp:version/>
  <cp:contentType/>
  <cp:contentStatus/>
</cp:coreProperties>
</file>