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0" yWindow="465" windowWidth="12150" windowHeight="11640" tabRatio="926" activeTab="0"/>
  </bookViews>
  <sheets>
    <sheet name="About This Tool" sheetId="1" r:id="rId1"/>
    <sheet name="Weightings" sheetId="2" r:id="rId2"/>
    <sheet name="A - Clients" sheetId="3" r:id="rId3"/>
    <sheet name="B - Network" sheetId="4" r:id="rId4"/>
    <sheet name="C - Storage" sheetId="5" r:id="rId5"/>
    <sheet name="D - Telephony" sheetId="6" r:id="rId6"/>
    <sheet name="E - Software" sheetId="7" r:id="rId7"/>
    <sheet name="F - Data" sheetId="8" r:id="rId8"/>
    <sheet name="G - Security" sheetId="9" r:id="rId9"/>
    <sheet name="H - Change" sheetId="10" r:id="rId10"/>
    <sheet name="I - PM" sheetId="11" r:id="rId11"/>
    <sheet name="J - IT Admin" sheetId="12" r:id="rId12"/>
    <sheet name="Rankings" sheetId="13" r:id="rId13"/>
    <sheet name="Results" sheetId="14" r:id="rId14"/>
  </sheets>
  <definedNames>
    <definedName name="_xlnm.Print_Area" localSheetId="12">'Rankings'!$A$1:$D$21</definedName>
  </definedNames>
  <calcPr fullCalcOnLoad="1" iterate="1" iterateCount="100" iterateDelta="0.001"/>
</workbook>
</file>

<file path=xl/comments10.xml><?xml version="1.0" encoding="utf-8"?>
<comments xmlns="http://schemas.openxmlformats.org/spreadsheetml/2006/main">
  <authors>
    <author>rarmstrong</author>
  </authors>
  <commentList>
    <comment ref="B2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5" authorId="0">
      <text>
        <r>
          <rPr>
            <sz val="8"/>
            <rFont val="Tahoma"/>
            <family val="0"/>
          </rPr>
          <t>Please choose one of the responses provided.</t>
        </r>
      </text>
    </comment>
    <comment ref="E2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11.xml><?xml version="1.0" encoding="utf-8"?>
<comments xmlns="http://schemas.openxmlformats.org/spreadsheetml/2006/main">
  <authors>
    <author>rarmstrong</author>
  </authors>
  <commentLis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12.xml><?xml version="1.0" encoding="utf-8"?>
<comments xmlns="http://schemas.openxmlformats.org/spreadsheetml/2006/main">
  <authors>
    <author>rarmstrong</author>
  </authors>
  <commentList>
    <comment ref="B2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5" authorId="0">
      <text>
        <r>
          <rPr>
            <sz val="8"/>
            <rFont val="Tahoma"/>
            <family val="0"/>
          </rPr>
          <t>Please choose one of the responses provided.</t>
        </r>
      </text>
    </comment>
    <comment ref="E2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40"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40" authorId="0">
      <text>
        <r>
          <rPr>
            <sz val="8"/>
            <rFont val="Tahoma"/>
            <family val="0"/>
          </rPr>
          <t>Please choose one of the responses provided.</t>
        </r>
      </text>
    </comment>
    <comment ref="E40"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3.xml><?xml version="1.0" encoding="utf-8"?>
<comments xmlns="http://schemas.openxmlformats.org/spreadsheetml/2006/main">
  <authors>
    <author>rarmstrong</author>
  </authors>
  <commentList>
    <comment ref="B26"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6" authorId="0">
      <text>
        <r>
          <rPr>
            <sz val="8"/>
            <rFont val="Tahoma"/>
            <family val="0"/>
          </rPr>
          <t>Please choose one of the responses provided.</t>
        </r>
      </text>
    </comment>
    <comment ref="E26"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4.xml><?xml version="1.0" encoding="utf-8"?>
<comments xmlns="http://schemas.openxmlformats.org/spreadsheetml/2006/main">
  <authors>
    <author>rarmstrong</author>
  </authors>
  <commentList>
    <comment ref="B28"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8" authorId="0">
      <text>
        <r>
          <rPr>
            <sz val="8"/>
            <rFont val="Tahoma"/>
            <family val="0"/>
          </rPr>
          <t>Please choose one of the responses provided.</t>
        </r>
      </text>
    </comment>
    <comment ref="E28"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4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45" authorId="0">
      <text>
        <r>
          <rPr>
            <sz val="8"/>
            <rFont val="Tahoma"/>
            <family val="0"/>
          </rPr>
          <t>Please choose one of the responses provided.</t>
        </r>
      </text>
    </comment>
    <comment ref="E4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5.xml><?xml version="1.0" encoding="utf-8"?>
<comments xmlns="http://schemas.openxmlformats.org/spreadsheetml/2006/main">
  <authors>
    <author>rarmstrong</author>
  </authors>
  <commentList>
    <comment ref="B27"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7" authorId="0">
      <text>
        <r>
          <rPr>
            <sz val="8"/>
            <rFont val="Tahoma"/>
            <family val="0"/>
          </rPr>
          <t>Please choose one of the responses provided.</t>
        </r>
      </text>
    </comment>
    <comment ref="E27"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6.xml><?xml version="1.0" encoding="utf-8"?>
<comments xmlns="http://schemas.openxmlformats.org/spreadsheetml/2006/main">
  <authors>
    <author>rarmstrong</author>
  </authors>
  <commentList>
    <comment ref="B25"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5" authorId="0">
      <text>
        <r>
          <rPr>
            <sz val="8"/>
            <rFont val="Tahoma"/>
            <family val="0"/>
          </rPr>
          <t>Please choose one of the responses provided.</t>
        </r>
      </text>
    </comment>
    <comment ref="E25"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7.xml><?xml version="1.0" encoding="utf-8"?>
<comments xmlns="http://schemas.openxmlformats.org/spreadsheetml/2006/main">
  <authors>
    <author>rarmstrong</author>
  </authors>
  <commentList>
    <comment ref="B26"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26" authorId="0">
      <text>
        <r>
          <rPr>
            <sz val="8"/>
            <rFont val="Tahoma"/>
            <family val="0"/>
          </rPr>
          <t>Please choose one of the responses provided.</t>
        </r>
      </text>
    </comment>
    <comment ref="E26"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 ref="B40"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40" authorId="0">
      <text>
        <r>
          <rPr>
            <sz val="8"/>
            <rFont val="Tahoma"/>
            <family val="0"/>
          </rPr>
          <t>Please choose one of the responses provided.</t>
        </r>
      </text>
    </comment>
    <comment ref="E40"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8.xml><?xml version="1.0" encoding="utf-8"?>
<comments xmlns="http://schemas.openxmlformats.org/spreadsheetml/2006/main">
  <authors>
    <author>rarmstrong</author>
  </authors>
  <commentLis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comments9.xml><?xml version="1.0" encoding="utf-8"?>
<comments xmlns="http://schemas.openxmlformats.org/spreadsheetml/2006/main">
  <authors>
    <author>rarmstrong</author>
  </authors>
  <commentList>
    <comment ref="B12" authorId="0">
      <text>
        <r>
          <rPr>
            <sz val="8"/>
            <rFont val="Tahoma"/>
            <family val="0"/>
          </rPr>
          <t>Score represents the actual amount - per question - which is then added to the Total Score below. Higher values indicate higher degrees of maturity.</t>
        </r>
        <r>
          <rPr>
            <b/>
            <sz val="8"/>
            <rFont val="Tahoma"/>
            <family val="0"/>
          </rPr>
          <t/>
        </r>
      </text>
    </comment>
    <comment ref="D12" authorId="0">
      <text>
        <r>
          <rPr>
            <sz val="8"/>
            <rFont val="Tahoma"/>
            <family val="0"/>
          </rPr>
          <t>Please choose one of the responses provided.</t>
        </r>
      </text>
    </comment>
    <comment ref="E12" authorId="0">
      <text>
        <r>
          <rPr>
            <b/>
            <sz val="8"/>
            <rFont val="Tahoma"/>
            <family val="2"/>
          </rPr>
          <t>Recommendations</t>
        </r>
        <r>
          <rPr>
            <sz val="8"/>
            <rFont val="Tahoma"/>
            <family val="0"/>
          </rPr>
          <t xml:space="preserve">
are automatically generated for "No" or least-mature responses. They contain advice on how you might address the particular infrastructure need.</t>
        </r>
      </text>
    </comment>
  </commentList>
</comments>
</file>

<file path=xl/sharedStrings.xml><?xml version="1.0" encoding="utf-8"?>
<sst xmlns="http://schemas.openxmlformats.org/spreadsheetml/2006/main" count="694" uniqueCount="508">
  <si>
    <t>Sheet B - Servers, Internal, &amp; External Network</t>
  </si>
  <si>
    <t>6. Storage Sufficiency</t>
  </si>
  <si>
    <t>7. Storage Planning</t>
  </si>
  <si>
    <t>Even if your current storage solution is adequate, your IT culture needs to internalize storage planning on an ongoing basis to ensure you do not fall behind</t>
  </si>
  <si>
    <t>Determines whether your current storage-related management processes are sufficient to support your line(s) of business</t>
  </si>
  <si>
    <t>Sheet C - Storage Sufficiency &amp; Planning</t>
  </si>
  <si>
    <t>8. Telephony Operations</t>
  </si>
  <si>
    <t>9. Telephony Planning</t>
  </si>
  <si>
    <t>Investigation of emerging technologies for possible implementation. Like software development, this function requires focus on reducing cost and risk, and improving functionality over time.</t>
  </si>
  <si>
    <t>Encompasses the ongoing support of all voice-based communication technologies, including PBX, Centrex, etc.</t>
  </si>
  <si>
    <t>10. Software Development</t>
  </si>
  <si>
    <t>11. Software Support</t>
  </si>
  <si>
    <t>12. Software Integration</t>
  </si>
  <si>
    <t>Refers to the development and/or modification of software by staff or contract resources. This can apply to net new development, modification of shrink wrap software, or a combination thereof.</t>
  </si>
  <si>
    <t>Refers to the Tier 1/2 support of all customized and shrink wrap software packages within the organization's technology environment. Applies to all applications currently in the organization's inventory.</t>
  </si>
  <si>
    <t>Refers to the management of all software assets within the supported environment to ensure they continue to coexist with other software and related architectural elements.</t>
  </si>
  <si>
    <t>Sheet D - Telephony</t>
  </si>
  <si>
    <t>Sheet E - Software Development, Support, &amp; Integration</t>
  </si>
  <si>
    <t>Is software integration treated as a defined entity within IT?</t>
  </si>
  <si>
    <t>Do you have a defined systems architecture role within IT?</t>
  </si>
  <si>
    <t>Do you currently have a software inventory?</t>
  </si>
  <si>
    <t>How formalized is your software procurement process?</t>
  </si>
  <si>
    <t>To what degree are end user and business-developed applications included in this overall process?</t>
  </si>
  <si>
    <t>Are software additions or changes to the inventory reviewed by your systems architects</t>
  </si>
  <si>
    <t>Have you implemented a baseline for production software?</t>
  </si>
  <si>
    <t>Do you charge back support costs for software to your lines of business?</t>
  </si>
  <si>
    <t>Defined as the application of knowledge, skills, tools and techniques to a broad range of activities to meet the requirements of the particular project</t>
  </si>
  <si>
    <t>Refers to IT-specific HR practices. Having a dedicated focus on recruitment &amp; retention within IT can result in closer fit between needs and actual staffing outcomes.</t>
  </si>
  <si>
    <t>About This Tool</t>
  </si>
  <si>
    <t>Start consolidating your inventory of PCs as the basis for further management activities down the road.</t>
  </si>
  <si>
    <t>Make sure any inventory management software covers as much as possible. You can only manage what you know.</t>
  </si>
  <si>
    <t>Consider building a simple reporting structure to start with.</t>
  </si>
  <si>
    <t>Draft a list of who needs to know what. Include them when you start distributing reports.</t>
  </si>
  <si>
    <t>Standard PC builds save money by making configuration, rollout and support repeatable and documentable.</t>
  </si>
  <si>
    <t>Forcing consumers of a service to pay for it - even if it's using internal chargeback - is a great way to reinforce the value of IT.</t>
  </si>
  <si>
    <t>Do you regularly review the software applications you are currently using?</t>
  </si>
  <si>
    <t>Approximately how often do your developers re-use existing software or components in new development projects?</t>
  </si>
  <si>
    <t>How often do you engage in updating your roadmap?</t>
  </si>
  <si>
    <t>Add this skillset to your skills inventory to ensure it is appropriately leveraged on projects.</t>
  </si>
  <si>
    <t>This role helps establish context for all your software development, implementation and support activities.</t>
  </si>
  <si>
    <t>Inventories represent the first step in actively managing any environment. Even simple ones have major benefits to the organization.</t>
  </si>
  <si>
    <t>Modular programming techniques and re-use of existing components can result in a better-integrated environment.</t>
  </si>
  <si>
    <t>Even if it didn't come from IT, recognize its potential impact to the shared environment. Manage all development to ensure everything fits.</t>
  </si>
  <si>
    <t>Do you have a demilitarized zone (DMZ) set up within your network?</t>
  </si>
  <si>
    <t>Systems architects can help establish an overall context for any changes to your software environment. Bring them on board early to avoid problems.</t>
  </si>
  <si>
    <t>Baselines ensure consistent versioning throughout the organization, and allow for much finer control of production-related resources.</t>
  </si>
  <si>
    <t>Consider tracking internal costs as the basis for understanding what areas are consuming the most resources, and why.</t>
  </si>
  <si>
    <t>Research your market to better understand where you stand in your software lifecycle. Don't be forced to react to external change.</t>
  </si>
  <si>
    <t>Make sure you have at least a basic set of criteria to follow when adding to your technology environment. Otherwise you risk compromising what's already in place.</t>
  </si>
  <si>
    <t>Refers to the element of infrastructure that manages changes to physical infrastructure - i.e. new computers, moving existing equipment</t>
  </si>
  <si>
    <t>How often do you experience degraded external network performance?</t>
  </si>
  <si>
    <t>S.I. Category Maturity</t>
  </si>
  <si>
    <t>User-Assigned Category Weighting</t>
  </si>
  <si>
    <t>Ranking Chart</t>
  </si>
  <si>
    <t>Emerging Maturity</t>
  </si>
  <si>
    <t>Value</t>
  </si>
  <si>
    <t>Infrastructure Maturity Level</t>
  </si>
  <si>
    <t>Relative Immaturity</t>
  </si>
  <si>
    <t>Relative Maturity</t>
  </si>
  <si>
    <t>You are well on your way to incorporating an appropriate depth of infrastructure-specific management practices into your planning and day-to-day operations. Study industry best practices to better understand where your remaining growth opportunities lie, then engage sponsorship to get behind specific improvement initiatives.</t>
  </si>
  <si>
    <t>Ad Hoc Maturity</t>
  </si>
  <si>
    <t>Assessment</t>
  </si>
  <si>
    <t>Significant opportunities exist in multiple areas for improving your approach to managing IT infrastructure. Although you may be keeping on top of things now, significant change in your external environment - like a buyout, or large-scale technology implementation - could leave you open to unnecessary risk and unable to meet your ongoing commitments to your line(s) of business. Take action now to better understand the categories of infrastructure within your organization, what you currently have in inventory, and where your greatest returns will be realized.</t>
  </si>
  <si>
    <t xml:space="preserve">You are starting to do the things you need to do to get a handle on building a more methodical infrastructure management culture, but you've got a fairly sizeable challenge ahead of you. Now is the right time to catalog what you have already accomplished. Take this to your sponsors and use it as leverage </t>
  </si>
  <si>
    <t>Your attention to integrating infrastructure management into your IT department is starting to realize returns. If sponsorship isn't starting to pay attention to the bottom-line benefits of this more evolved approach to managing IT, you have an excellent opportunity to bring them on board.</t>
  </si>
  <si>
    <t>Category Weightings</t>
  </si>
  <si>
    <r>
      <t xml:space="preserve">1. Worksheet Tabs: </t>
    </r>
    <r>
      <rPr>
        <sz val="10"/>
        <rFont val="Arial"/>
        <family val="2"/>
      </rPr>
      <t xml:space="preserve">Each tab from A to J represents one of the categories in Info-Tech's Segmented Infrastructure model. Select the appropriate spreadsheet tab to navigate through the workbook. </t>
    </r>
  </si>
  <si>
    <r>
      <t xml:space="preserve">3. Questions: </t>
    </r>
    <r>
      <rPr>
        <sz val="10"/>
        <rFont val="Arial"/>
        <family val="0"/>
      </rPr>
      <t>Carefully read the questions in each category. Answer each as best you can with the knowledge of your organization's current-state infrastructure.</t>
    </r>
  </si>
  <si>
    <r>
      <t xml:space="preserve">4. Answers: </t>
    </r>
    <r>
      <rPr>
        <sz val="10"/>
        <rFont val="Arial"/>
        <family val="0"/>
      </rPr>
      <t>To answer the questions, click once on the corresponding “Response” cell. Click on the arrow and select an answer from the drop-down menu.</t>
    </r>
  </si>
  <si>
    <t>What percentage of your network-based storage is currently being used?</t>
  </si>
  <si>
    <t>Robust Maturity</t>
  </si>
  <si>
    <t>STRONG Weighted Maturity
LOW priority for work</t>
  </si>
  <si>
    <t>RELATIVELY STRONG Weighted Maturity
SOME priority for work</t>
  </si>
  <si>
    <t>AVERAGE Weighted Maturity
MEDIUM Priority for Work</t>
  </si>
  <si>
    <t>BELOW AVERAGE Weighted Maturity
HIGH Priority for Work</t>
  </si>
  <si>
    <t>SIGNIFICANTLY BELOW AVERAGE Weighted Maturity
VERY HIGH Priority for Work</t>
  </si>
  <si>
    <t xml:space="preserve">Your organization exhibits routine use of infrastructure-specific best practices in multiple areas. Seek out opportunities to share your experiences outside of IT, throughout the organization, and beyond. By leveraging your process knowledge to other audiences, you can multiply the benefits back to your organization. Regardless, remain alert to environmental changes and keep making the case for continued focus.
</t>
  </si>
  <si>
    <t>Results</t>
  </si>
  <si>
    <t>Add any PC management software to your baseline to ensure it is maintained to the same standards as all other software.</t>
  </si>
  <si>
    <t>An ongoing budget for PC management makes it easier to maintain the system over time. It should not be seen as a one-time implementation.</t>
  </si>
  <si>
    <t>Peripherals can consume significant amounts of resources and money due to non-standardized implementation practices.</t>
  </si>
  <si>
    <t>Consider including peripherals in any already-implemented PC management database.</t>
  </si>
  <si>
    <t>Separate reporting would enable more precise root cause analysis.</t>
  </si>
  <si>
    <t>The more research you do prior to deployment, the greater the potential for a smooth integration into your existing environment.</t>
  </si>
  <si>
    <t>Like standard PC builds, standard "bundles" allow for easier implementation and support. They also simplify things for end users.</t>
  </si>
  <si>
    <t>Standards always help an organization control unknown results and, thus, costs. Exceptions should be managed within this framework.</t>
  </si>
  <si>
    <t>Separate budget funding ensures this category does not "disappear" over time.</t>
  </si>
  <si>
    <t>Follow the same planning and implementation approach with peripherals as you do with client PCs.</t>
  </si>
  <si>
    <t>You can't manage what you don't know. Inventory your servers to understand what's out there.</t>
  </si>
  <si>
    <t>Regular review allows you to adjust resourcing to reflect your changing environment.</t>
  </si>
  <si>
    <t>Research the current state of server operating systems on an ongoing basis. Few decisions will have a great impact on your users than this one.</t>
  </si>
  <si>
    <t>Better choices up-front lead to less time spend doing routine administration work later on.</t>
  </si>
  <si>
    <t>Even small numbers of servers will require a defined approach to planning and maintenance.</t>
  </si>
  <si>
    <t>As with client PCs, standardized builds are easier to maintain and upgrade.</t>
  </si>
  <si>
    <t>Consider assigning specific and skilled resources to support your servers.</t>
  </si>
  <si>
    <t>Consider drafting one to set expectations about how these mission critical resources will be maintained.</t>
  </si>
  <si>
    <t>Consider drafting one to clearly lay out where your server deployment will evolve in the coming months and years.</t>
  </si>
  <si>
    <t>A well-functioning network is critical to productivity and cost control. Aggressively pursue any performance problems and prioritize any fixes.</t>
  </si>
  <si>
    <t>Every time your network slows down or goes down, it's costing you money. Greater frequency means greater bottom line impact.</t>
  </si>
  <si>
    <t>4.2 Segmented Infrastructure Model</t>
  </si>
  <si>
    <t>A blueprint of your network is critical to effective support. It also helps when you bring in other people to work on the network.</t>
  </si>
  <si>
    <t>Regular inventory review ensures you are always working with a current picture. Ongoing review is optimal.</t>
  </si>
  <si>
    <t>Consider documenting your network management processes to set expectations within all involved teams and personnel.</t>
  </si>
  <si>
    <t>Consider creating a schedule to regularly review your NMP. Then publish it for everyone to see.</t>
  </si>
  <si>
    <t>Roadmaps help you plan the evolution of your infrastructure over time. Don't forget to include your network in this important process.</t>
  </si>
  <si>
    <t>More often is always better. But make sure it's not so frequent that it affects your ability to do work in other areas. Be realistic.</t>
  </si>
  <si>
    <t>Allocate sufficient time and resources to research all decisions related to acquisition and implementation of network equipment.</t>
  </si>
  <si>
    <t>Better networks require less maintenance. Up-front investments in planning make for smoother-running environments later on.</t>
  </si>
  <si>
    <t>Industry standard analysis tools not only highlight where problem areas may lie, but they also give you access to a world of other helpful IT resources.</t>
  </si>
  <si>
    <t>Every critical piece of IT infrastructure should have appropriately-skilled resources accountable for its ongoing maintenance and evolution.</t>
  </si>
  <si>
    <t>Make sure your Internet connection is sufficient to support the volume and type of business you do over it. Cost extends well beyond a monthly bill.</t>
  </si>
  <si>
    <t>Consider adding your external network configuration onto your internal network map.</t>
  </si>
  <si>
    <t>Consider documenting your processes in lockstep with your internal network planning process.</t>
  </si>
  <si>
    <t>Consider creating a schedule to regularly review your combined internal &amp; external NMP. Then publish it for everyone to see.</t>
  </si>
  <si>
    <r>
      <t xml:space="preserve">Instructions: </t>
    </r>
    <r>
      <rPr>
        <sz val="10"/>
        <rFont val="Arial"/>
        <family val="0"/>
      </rPr>
      <t>The overall rankings for Segmented Infrastructure Model category maturity are based on a range between 0 and 4, where 0 represents the least mature state and 4 represents the most mature state.</t>
    </r>
  </si>
  <si>
    <t>Use the chart below to measure your category-specific maturity rankings. In doing so, you will have a better idea of how your current-state infrastructure measures up, and where you should focus your efforts to drive further improvement.</t>
  </si>
  <si>
    <t>Based on assigned weight (likely low) and maturity results (likely robust), this category will not merit priority attention as you decide where to invest your effort in improving your technology infrastructure.</t>
  </si>
  <si>
    <t>This category is likely workable for now, but its weighted maturity results indicate it could emerge as a problem area given enough time. Although it may not merit immediate attention, you should keep an eye on it to ensure things don't degrade over time.</t>
  </si>
  <si>
    <t>This category will most likely require some attention in the forseeable future. The weighted results indicate tangible evidence that your current arrangement is either not optimally meeting your business needs, or is doing so in a way that consumes more resources than it should.</t>
  </si>
  <si>
    <t>This category will require attention, and soon. It indicates a notable weakness in maturity whose sensitivity to the organization is increased by a higher degree of weighting. This should receive priority attention.</t>
  </si>
  <si>
    <r>
      <t xml:space="preserve">The weighted results show a combination of very low maturity results </t>
    </r>
    <r>
      <rPr>
        <i/>
        <sz val="10"/>
        <rFont val="Arial"/>
        <family val="2"/>
      </rPr>
      <t>and</t>
    </r>
    <r>
      <rPr>
        <sz val="10"/>
        <rFont val="Arial"/>
        <family val="2"/>
      </rPr>
      <t xml:space="preserve"> a high degree of importance to the organization. These should be the absolutely first categories that you will deal with as a result of the Infrastructure Action Plan.</t>
    </r>
  </si>
  <si>
    <t>0 to 24</t>
  </si>
  <si>
    <t>25 to 49</t>
  </si>
  <si>
    <t>50 to 99</t>
  </si>
  <si>
    <t>100 to 199</t>
  </si>
  <si>
    <t>200 and above</t>
  </si>
  <si>
    <t>Roadmaps help you plan the evolution of your infrastructure over time. Don't forget to include your entire network in this important process.</t>
  </si>
  <si>
    <t>Consider bringing in an expert to analyze your bandwidth use. Otherwise, you could be paying for performance you're not using.</t>
  </si>
  <si>
    <t>Consider implementing policies requiring users to save data to network shared drives. Then incorporate this into your PC build process. Local data is at risk.</t>
  </si>
  <si>
    <t>Consider drafting an acceptable use policy to maximize use of your drive space and limit organizational exposure.</t>
  </si>
  <si>
    <t>Some file types - especially rich media - can aggressively consume disk space. Make sure to control their presence in your environment.</t>
  </si>
  <si>
    <t>Consider setting thresholds at which you either need to review what's being stored, or acquire additional drive capacity.</t>
  </si>
  <si>
    <t>Consider analyzing the components of your network-based storage to ensure they are sufficient to support the volume and speed of your business.</t>
  </si>
  <si>
    <t>Consider defining a realistic allocation per user to arrive at target total data storage requirements. Then evolve it over time to project growth.</t>
  </si>
  <si>
    <t>Consider asking senior leadership to allow IT to oversee its own budgeting process.</t>
  </si>
  <si>
    <t>An IT FM process is an optimal means of reinforcing the IT value proposition with the rest of the organization.</t>
  </si>
  <si>
    <t>Consider implementing a chargeback system to better illustrate costs and returns of IT services.</t>
  </si>
  <si>
    <t>Even if this role is not dedicated, institutionalizing the role will ensure the discipline gets the attention it deserves.</t>
  </si>
  <si>
    <t>Make basic Financial Management skills a core requirement for all IT personnel.</t>
  </si>
  <si>
    <t>Consider implementing standardized budget tracking packages to better monitor fiscal performance.</t>
  </si>
  <si>
    <t>Make contact with local business groups to reinforce the FM learning potential within your organization.</t>
  </si>
  <si>
    <t>Integrate FM into all aspects of operational and project work.</t>
  </si>
  <si>
    <t>Laws are powerless unless enforced. So, too, are SLAs.</t>
  </si>
  <si>
    <t>SLA negotiation is a broad-based endeavour. Involve all constituents from IT and the business to ensure buy-in.</t>
  </si>
  <si>
    <t>Start compiling an inventory, even if it's a simple spreadsheet or PowerPoint-based overview.</t>
  </si>
  <si>
    <t>Regular review of your inventory allows you to proactively avoid crises. Advance-schedule all required personnel now.</t>
  </si>
  <si>
    <t>Treat your storage devices as you would any other network-attached equipment.</t>
  </si>
  <si>
    <t>What works today may not be sufficient tomorrow. Plan for your future.</t>
  </si>
  <si>
    <t>Make sure your roadmap is reviewed at regular intervals. Combine this process with the network management plan review for maximum impact.</t>
  </si>
  <si>
    <t>Study industry-standard network storage practices as a means of ensuring optimal deployment and availability of support resources.</t>
  </si>
  <si>
    <t>Plan ahead so that all decisions are the right decisions.</t>
  </si>
  <si>
    <t>Set up your Helpdesk as a single point of contact for all technology-related incidents. Communicate this to your end users.</t>
  </si>
  <si>
    <t>Treat telephony incidents with the same incident management processes as other technologies.</t>
  </si>
  <si>
    <t>Segment your technology types to better understand where your problem areas are.</t>
  </si>
  <si>
    <t>Properly secure your voice communications equipment to reduce vulnerability and risk.</t>
  </si>
  <si>
    <t>Even a simple job aid is often enough to unlock some of your phone system's potential.</t>
  </si>
  <si>
    <t>Ratios can vary based on type of OS and environment. Study industry trends and participate in discussion groups to know where you stand.</t>
  </si>
  <si>
    <t>Source: www.infotech.com</t>
  </si>
  <si>
    <t>To reduce risk to mission critical business functions, consider building specific servers for each.</t>
  </si>
  <si>
    <t>In the past year, have you experienced slowdowns in your network storage?</t>
  </si>
  <si>
    <t>In the past year, have you experienced space sufficiency problems with your network storage?</t>
  </si>
  <si>
    <t>In the past year, have you experienced stability or integrity problems with your network storage?</t>
  </si>
  <si>
    <t>Provides protection for IT resources from accidental or deliberate destruction by a user of the system.</t>
  </si>
  <si>
    <t>Can your technology be connected to from outside the firewall? This can include dial-up access, dedicated line or DSL/cable.</t>
  </si>
  <si>
    <t>Have you set up a firewall on your network?</t>
  </si>
  <si>
    <t>Do you conduct regularly-scheduled penetration testing?</t>
  </si>
  <si>
    <t>Do you have a security plan or roadmap?</t>
  </si>
  <si>
    <t>Is your security plan incorporated into your network management plan?</t>
  </si>
  <si>
    <t>Do you have personnel devoted to security-specific tasks?</t>
  </si>
  <si>
    <t>Are security requirements integrated into all development, project and support initiatives?</t>
  </si>
  <si>
    <t>Sheet F - Data Management</t>
  </si>
  <si>
    <t>13. Data Management</t>
  </si>
  <si>
    <t>Sheet G - Security</t>
  </si>
  <si>
    <t>14. Security</t>
  </si>
  <si>
    <t>15. Change Management</t>
  </si>
  <si>
    <t>17. Project Management</t>
  </si>
  <si>
    <t>19. Service Level Agreements</t>
  </si>
  <si>
    <t>20. Human Resources</t>
  </si>
  <si>
    <t>Sheet J - IT Administration</t>
  </si>
  <si>
    <t>Sheet I - Project Management</t>
  </si>
  <si>
    <t>Sheet H - Installs, Moves, Adds, &amp; Changes</t>
  </si>
  <si>
    <t>Refers to the processes by which data is created, manipulated and secured within the organization.</t>
  </si>
  <si>
    <t>Have you identified data analyst or database administrators as unique skills?</t>
  </si>
  <si>
    <t>18. Accounting/Financial Management</t>
  </si>
  <si>
    <t>Refers to IT-specific management of fiscal resources.</t>
  </si>
  <si>
    <t>Clients</t>
  </si>
  <si>
    <t>Network</t>
  </si>
  <si>
    <t>Storage</t>
  </si>
  <si>
    <t>Telephony</t>
  </si>
  <si>
    <t>Total</t>
  </si>
  <si>
    <t>Software</t>
  </si>
  <si>
    <t>Data</t>
  </si>
  <si>
    <t>Security</t>
  </si>
  <si>
    <t>Change</t>
  </si>
  <si>
    <t>PM</t>
  </si>
  <si>
    <t>IT Admin</t>
  </si>
  <si>
    <t>Your Weighting</t>
  </si>
  <si>
    <t>Project Management</t>
  </si>
  <si>
    <t>A</t>
  </si>
  <si>
    <t>B</t>
  </si>
  <si>
    <t>C</t>
  </si>
  <si>
    <t>D</t>
  </si>
  <si>
    <t>E</t>
  </si>
  <si>
    <t>F</t>
  </si>
  <si>
    <t>G</t>
  </si>
  <si>
    <t>H</t>
  </si>
  <si>
    <t>I</t>
  </si>
  <si>
    <t>J</t>
  </si>
  <si>
    <t>IT Administration</t>
  </si>
  <si>
    <t>S.I. Category Weight</t>
  </si>
  <si>
    <t>Average for Subcategory</t>
  </si>
  <si>
    <t>Unweighted Category Average</t>
  </si>
  <si>
    <t>Scoring:</t>
  </si>
  <si>
    <t>Initiate meetings between IT and business leadership to begin negotiation process to create SLAs.</t>
  </si>
  <si>
    <t>Initiate meetings with vendors and/or business leaders (as appropriate) to create SLAs.</t>
  </si>
  <si>
    <t>Draft a realistic schedule to revisit and revise your SLAs to reflect an ever-changing environment.</t>
  </si>
  <si>
    <t>Make SLAs easily available to anyone who might benefit from reading them - in both IT AND the business areas.</t>
  </si>
  <si>
    <t>Local storage of mission critical documentation exposes the organization to unnecessary risk.</t>
  </si>
  <si>
    <t>IT can not go it alone. SLAs must involve ALL constituents, including the business areas served by IT.</t>
  </si>
  <si>
    <t>Consider defining the role, even if you currently lack the resources to assign a full-time equivalent. Even a partial resource is acceptable.</t>
  </si>
  <si>
    <t>Reuse of code is an effective means of building better applications more quickly. It can also reduce support costs by making in-service software simpler to fix.</t>
  </si>
  <si>
    <t>You will want to sequester your development and testing activities away from your production environment, otherwise you place your business in significant peril.</t>
  </si>
  <si>
    <t>Certification isn't just impressive on a wall. It means more predictable outcomes for the organization, and greater access to an established community of experts.</t>
  </si>
  <si>
    <t>Assess your staff members' certifications on a regular schedule. Incorporate this into their regular review process and tie it into their career advancement.</t>
  </si>
  <si>
    <t>Consider dedicating some resources to this critical function. Informal end user support measures can be a huge financial and productivity drain.</t>
  </si>
  <si>
    <t>Tracking tickets is the first step toward understanding the kinds of nomalies that occur. Without one, you'll never be able to improve your performance.</t>
  </si>
  <si>
    <t>Consider moving toward a more mature helpdesk management package to better enable your front-line analysts to add value to your end users' use of technology.</t>
  </si>
  <si>
    <t>Know who your subject matter experts are in the organization, and arrange for them to work with the helpdesk to resolve problems that aren't initially fixed.</t>
  </si>
  <si>
    <t>Stay on top of all assigned work to ensure nothing is lost. An incomplete helpdesk is in many respects as useless as no helpdesk at all in that it adds no value to the organization.</t>
  </si>
  <si>
    <t>Learn from the tickets that flow through the desk, and use them to identify performance and process improvement opportunities.</t>
  </si>
  <si>
    <t>Set your helpdesk up as the single point of contact for all technology issues. This will reduce end user confusion and contribute to better overall tracking of work.</t>
  </si>
  <si>
    <t>ITIL provides an effective framework for raising your overall service management maturity level.</t>
  </si>
  <si>
    <t>Regular contact with other resources in the industry can accelerate implementation of best practices.</t>
  </si>
  <si>
    <t>Do your corporate databases reside on their own database servers?</t>
  </si>
  <si>
    <t>Do you have a database migration plan?</t>
  </si>
  <si>
    <t>Are DBAs set up to provide Tier 2 support when the helpdesk (Tier 1) is unable to resolve a database-related incident?</t>
  </si>
  <si>
    <t>Do you follow standard build practices when building or updating corporate databases?</t>
  </si>
  <si>
    <t>Are your databases documented?</t>
  </si>
  <si>
    <t>Are your databases incorporated into the company's backup strategy?</t>
  </si>
  <si>
    <t>Do you conduct test backups/restores on a regular basis?</t>
  </si>
  <si>
    <t>Do your DBAs have access to a test and/or development environment?</t>
  </si>
  <si>
    <t>Database-specific skills should be uniquely identified within your skills inventory.</t>
  </si>
  <si>
    <t>To maximize performance, security, robustness and security, it is a best practice to have dedicated hardware for your corporate-level databases.</t>
  </si>
  <si>
    <t>Connect with your colleagues in the field for enhanced learning and exposure to evolving best practices. Don't live in a vacuum.</t>
  </si>
  <si>
    <t>Consider drafting one sooner rather than later. Identify what your current and future data management needs are. Enlist business input to ensure the plan is representative.</t>
  </si>
  <si>
    <t>Make sure your technical specialists - including DBAs - are available for Tier 2 support to minimize organizational disruption.</t>
  </si>
  <si>
    <t>The more predictable your development efforts are, the more reliable they will be, and the easier they will be to support.</t>
  </si>
  <si>
    <t>Take rapid action to ensure your mission critical data is not exposued to undue risk. Your business depends on it.</t>
  </si>
  <si>
    <t>Challenge your DBAs to properly document the databases currently in use within your organization, as well as the processes used to develop, manage and update them.</t>
  </si>
  <si>
    <t>Make sure to conduct these on a regular basis to validate theintegrity of your processes.</t>
  </si>
  <si>
    <t>Database-specific changes should be first implemented in non-production environments. Sticking with a homogeneous environment places your data at risk.</t>
  </si>
  <si>
    <t>Unscheduled changes are a major source of helpdesk calls. Proactively manage them to avoid risk.</t>
  </si>
  <si>
    <t>Have you defined, documented and distributed your Change Management processes?</t>
  </si>
  <si>
    <t>New processes work best when they are documented and communicated. Make sure everyone in IT and your company gets on board.</t>
  </si>
  <si>
    <t>Change Management should be an integral part of project planning. Failure to do so will drive higher costs on an ongoing basis.</t>
  </si>
  <si>
    <t>Make sure Change Management is actively connected to your Tier 1 and Tier 2 support areas.</t>
  </si>
  <si>
    <t>Ensure Change Management personnel stay in contact with projects right through to post implementation review and project closure.</t>
  </si>
  <si>
    <t>Use the helpdesk as a single point of contact for all technology-related issues, including Change Management.</t>
  </si>
  <si>
    <t>You can't manage what you don't know. Solicit input from all constituents to ensure you build a relevant and workable reporting solution.</t>
  </si>
  <si>
    <t>All hardware and software can potentially impact how your technology environment performs. Make sure you track all changes to it.</t>
  </si>
  <si>
    <t>Consider assigning a staff member on at least a part-time basis. As the task is administrative, skill requirements are relatively low.</t>
  </si>
  <si>
    <t>These should be an integral part of project planning. Failure to do so will drive higher costs on an ongoing basis.</t>
  </si>
  <si>
    <t>Make sure your IMAC personnel are is actively connected to your Tier 1 and Tier 2 support areas.</t>
  </si>
  <si>
    <t>Ensure IMAC personnel stay in contact with projects right through to post implementation review and project closure.</t>
  </si>
  <si>
    <t>Changes to physical infrastructure can have significant architectural implications. Keep the communication lines open between them.</t>
  </si>
  <si>
    <t>Use the helpdesk as a single point of contact for all technology-related issues, including IMACs.</t>
  </si>
  <si>
    <t>Make it easy, and consider using a forms-based process to more precisely dictate the kinds of information you receive from your end users.</t>
  </si>
  <si>
    <t>The ITIL framework is exceptionally robust in terms of establishing a process-based culture. You may wish to begin studying it.</t>
  </si>
  <si>
    <t>If it isn't, it should be. PM discipline can positively impact the cost effectiveness, as well as the overall effectiveness and efficiency of implemented work.</t>
  </si>
  <si>
    <t>If you're not dedicating PM resources to this function, consider doing so.</t>
  </si>
  <si>
    <t>Although this is most important in larger organizations, it is also valuable elsewhere in that it establishes a continuity within the PM discipline, and can drive maturity.</t>
  </si>
  <si>
    <t>Add a section to your skills inventory outlining PM-specific skills. Project Management International can help.</t>
  </si>
  <si>
    <t>Consider PM software like Microsoft Project to efficiently stay on top of tasks, milestones and deliverables - and to keep teams working together.</t>
  </si>
  <si>
    <t>Take the time to learn the benefits of industry-specific organizations like PMI.</t>
  </si>
  <si>
    <t>Operations and projects should be funded separately to better understand what each area's true requirements are.</t>
  </si>
  <si>
    <t>Make sureyour reporting meets the needs of your sponsor. Start with this person's needs and work your way back.</t>
  </si>
  <si>
    <t>Project costs can represent a significant proportion of the IT budget. Set up specific budget tracking to build a better value proposition for this type of work.</t>
  </si>
  <si>
    <t>Start doing so without delay to incorporate learnings from current projects into all future ones.</t>
  </si>
  <si>
    <t>Don't miss out on a golden opportunity to drive project performance even higher in future. Start paying it forward now.</t>
  </si>
  <si>
    <t>The PMP designation is recognized worldwide as a standard of excellence in this field. Use it as a career management incentive.</t>
  </si>
  <si>
    <t>Make sure everyone is aware of what happens if SLAs aren't met. Publish alongside and/or incorporate this information into the SLAs themselves.</t>
  </si>
  <si>
    <t>Use external resources as a guide, but you'll also want to customize hiring to the unique requirements of IT.</t>
  </si>
  <si>
    <t>Document everything to both capture best practice information,and protect the organization from exposure.</t>
  </si>
  <si>
    <t>Make sure you publish even a simple progression to keep your staff focused and engaged.</t>
  </si>
  <si>
    <t>Make sure hiring is limited to a few key resources to ensure continuity of process. Involve IT specialists on a partnership basis.</t>
  </si>
  <si>
    <t>Implement evaluations as soon as possible, even if it's rudimentary at first. Lack of evaluations can drive elevated turnover and other HR problems.</t>
  </si>
  <si>
    <t>Regular review of compensation levels is critical in a technical and competitive field. Add this recurring work to your department schedule.</t>
  </si>
  <si>
    <t>Decision Making &amp; Analysis Framework</t>
  </si>
  <si>
    <t>4.2 Segmented Infrastructure Model - Decision Making &amp; Analysis Framework:</t>
  </si>
  <si>
    <t>Although you may have little room to maneuver here, consider implementing non-monetary benefits to soften any compensation gaps. Free coffee or parking can help!</t>
  </si>
  <si>
    <t>Conduct exit interviews to determine why people are leaving. Place a priority on addressing this silent process that can significantly cost your company.</t>
  </si>
  <si>
    <t>Never assume you know what your employees are feeling. Actively solicit their feedback through multiple channels.</t>
  </si>
  <si>
    <t>Do you manage your peripherals alongside your client PCs?</t>
  </si>
  <si>
    <t>Do you have an exceptions management process for non-standard peripheraps?</t>
  </si>
  <si>
    <t>Roll out PC management/inventory software to your Helpdesk to better understand what you have deployed, and to whom. Even a basic spreadsheet will do.</t>
  </si>
  <si>
    <t>How often do you review your inventory?</t>
  </si>
  <si>
    <t>How often do you review your network implementation?</t>
  </si>
  <si>
    <t>How often do you engage in long-term network planning?</t>
  </si>
  <si>
    <t>Do you have a roadmap for long-term planning of your internal network?</t>
  </si>
  <si>
    <t>Do you have a network management plan to clarify day-to-day operational responsibilities?</t>
  </si>
  <si>
    <t>How often do you review the external networking components of your network management plan?</t>
  </si>
  <si>
    <t>Prioritize efforts to address any integrity issues with your storage solution. Bottom line impact is potentially catastrophic.</t>
  </si>
  <si>
    <t>Routine maintenance should demand a minimum of your time. If the time is increasing, start to question why, and invest more time in root cause analysis.</t>
  </si>
  <si>
    <t>Servers should never be left out in the open. If the physical machine is not secure, neither is your mission critical data.</t>
  </si>
  <si>
    <t>Take the time to allocate specific resources to this component of your infrastructure. It need not be full-time - any resourcing is better than none.</t>
  </si>
  <si>
    <t>Add regular review to your IT calendar to ensure your storage solution remains ahead of the business demand curve.</t>
  </si>
  <si>
    <t>Telephony-based technologies require somewhat unique skills for effective support. Make sure these are identified within your organization.</t>
  </si>
  <si>
    <t>Always do your homework before embarking on even a relatively minor acquisition. Ongoing maintenance costs are much higher for failed or insufficient implementations.</t>
  </si>
  <si>
    <t>Acceptable use policies allow end users to derive the most value from your telephony investment. Consider drafting one soon.</t>
  </si>
  <si>
    <t>You can't manage what you don't know. Even if it's a simplistic map, take the time to capture your current state.</t>
  </si>
  <si>
    <t>How often do you review your telephony inventory?</t>
  </si>
  <si>
    <t>Make sure regular review is added to your IT calendar. What may be sufficient today may not be tomorrow due to environmental changes.</t>
  </si>
  <si>
    <t>The right decision today can improve money and improve productivity. Make sure you invest sufficient time to make the most informed choices possible.</t>
  </si>
  <si>
    <t>Telephony needs to fit into your overall technology map. Make sure you bring the right resources into the planning process to ensure this happens.</t>
  </si>
  <si>
    <t>Many organizations neglect to incorporate telephony into their NMP. Don't make that mistake.</t>
  </si>
  <si>
    <t>Regular review of operations planning is a widely acknowledged best practice. It need not be onerous, but it needs to be done.</t>
  </si>
  <si>
    <t>Engage your systems architects in this process.</t>
  </si>
  <si>
    <t>Make sure the process makes it onto the IT calendar. This will ensure proper ongoing planning for this critical piece of infrastructure.</t>
  </si>
  <si>
    <t>VoIP represents the future of telephony. Invest the time now to bring yourself up to speed on its benefits and pitfalls. You don't want to be left behind.</t>
  </si>
  <si>
    <t>Tracking development costs allows for greater precision in deciding which initiatives receive how much funding. It allows a given development budget to go further.</t>
  </si>
  <si>
    <t>Sooner or later, all organizations need new or updated software. A more proactive approach to development and procurement will save a lot of pain.</t>
  </si>
  <si>
    <t>A process-based approach to development can reduce cost and improve quality by making outcomes more predictable.</t>
  </si>
  <si>
    <t>Always know where your skills reside, and how you will engage them when you need them.</t>
  </si>
  <si>
    <t>How are client computers currently managed in your organization?</t>
  </si>
  <si>
    <t>Do your support teams use centralized PC management software?</t>
  </si>
  <si>
    <t>If you have installed such a system, what % of your equipment does it cover?</t>
  </si>
  <si>
    <t>If you have installed such a system, does it generate reports?</t>
  </si>
  <si>
    <t>If yes, how are those reports used?</t>
  </si>
  <si>
    <t>Have you defined a standard "build" for different roles within your organization?</t>
  </si>
  <si>
    <t>Have you implemented a chargeback system to track client-related costs?</t>
  </si>
  <si>
    <t>Is your Client PC management system part of your software baseline?</t>
  </si>
  <si>
    <t>Have you allocated a budget for maintenance &amp; upgrades for the coming year?</t>
  </si>
  <si>
    <t>Are peripherals currently being tracked within your organization?</t>
  </si>
  <si>
    <t>Do you report separately on peripherals management?</t>
  </si>
  <si>
    <t>Do you follow vendor/product guidelines when selecting peripherals for procurement?</t>
  </si>
  <si>
    <t>Do you use a standard "bundle" of peripherals for your end users?</t>
  </si>
  <si>
    <t>How do you incorporate new peripherals into your inventory?</t>
  </si>
  <si>
    <t>Have you budgeted separately for peripherals acquisitions in the coming year?</t>
  </si>
  <si>
    <t>Do you currently have a server inventory?</t>
  </si>
  <si>
    <t>How often do you review server deployment?</t>
  </si>
  <si>
    <t>Your server operating system choices are based on…</t>
  </si>
  <si>
    <t>How many servers currently exist in your organization?</t>
  </si>
  <si>
    <t>What is your organization's employee-to-server ratio?</t>
  </si>
  <si>
    <t>Are they uniquely configured for a specific business function, or are they multipurpose?</t>
  </si>
  <si>
    <t>Do you have a standard hardware and software build for new servers?</t>
  </si>
  <si>
    <t>Who supports your servers?</t>
  </si>
  <si>
    <t>Do you have a server management plan?</t>
  </si>
  <si>
    <t>Do you have a roadmap for server deployment?</t>
  </si>
  <si>
    <t>Do you periodically experience degraded internal network performance?</t>
  </si>
  <si>
    <t>If so, how often?</t>
  </si>
  <si>
    <t>Do you currently have an inventory or map of your internal network?</t>
  </si>
  <si>
    <t>Your purchases of hardware, software or services for your internal network are based on…</t>
  </si>
  <si>
    <t>As a percentage, how much of your network administration time is allocated to routine maintenance of your LAN?</t>
  </si>
  <si>
    <t>Who supports your internal network?</t>
  </si>
  <si>
    <t>Do you use MRTG-based tools to analyze network performance?</t>
  </si>
  <si>
    <t>Where is the majority of your end user data currently stored?</t>
  </si>
  <si>
    <t>Do you have an acceptable use policy in place for your end users?</t>
  </si>
  <si>
    <t>Do you place restrictions on what file types can and cannot be stored on the network?</t>
  </si>
  <si>
    <t>As a percentage, how much of your network administration time is allocated to routine maintenance of your storage solution?</t>
  </si>
  <si>
    <t>The majority of your network storage is physically located in…</t>
  </si>
  <si>
    <t>Who supports your network storage?</t>
  </si>
  <si>
    <t>Do you currently have an inventory or map of your organization’s network storage?</t>
  </si>
  <si>
    <t>If so, how often do you review your network storage inventory?</t>
  </si>
  <si>
    <t>If you have a network management plan, does it include storage devices?</t>
  </si>
  <si>
    <t>If so, how often do you review the storage components of your network management plan?</t>
  </si>
  <si>
    <t>Do you have a roadmap for your storage solution?</t>
  </si>
  <si>
    <t>If so, how often do review or update your storage roadmap?</t>
  </si>
  <si>
    <t>Does the roadmap include provisions for SAN or NAS architecture?</t>
  </si>
  <si>
    <t>Your purchases of hardware, software or services for your storage solution are based on…</t>
  </si>
  <si>
    <t>Who supports your telephony network?</t>
  </si>
  <si>
    <t>Are telephony-related incidents first routed through your helpdesk?</t>
  </si>
  <si>
    <t>Does your organization use the same case management processes for telephony as it does for other types of technology (such as desktop PCs, for example)?</t>
  </si>
  <si>
    <t>Can your helpdesk report separately on telephony-related incidents?</t>
  </si>
  <si>
    <t>Do you follow vendor/product guidelines when procuring voice communications equipment?</t>
  </si>
  <si>
    <t>Do you have a voice communications-specific acceptable use policy in place for your end users?</t>
  </si>
  <si>
    <t>The majority of your shared telephony equipment is physically located…</t>
  </si>
  <si>
    <t>How are end users trained to get the most out of the company’s phone system?</t>
  </si>
  <si>
    <t>Do you currently have an inventory or map of your organization’s telephony solution?</t>
  </si>
  <si>
    <t>Your telephony procurement choices are based on…</t>
  </si>
  <si>
    <t>As a percentage, how much of your telephony resources’ time is devoted to routine maintenance functions?</t>
  </si>
  <si>
    <t>Are systems architects involved in planning changes to telephony-based infrastructure?</t>
  </si>
  <si>
    <t>If you have a network management plan, does it include telephony-related devices?</t>
  </si>
  <si>
    <t>If so, how often do you review the telephony-related components of your network management plan?</t>
  </si>
  <si>
    <t>Do you have a roadmap for your telephony solution?</t>
  </si>
  <si>
    <t>If so, how often do review or update your telephony roadmap?</t>
  </si>
  <si>
    <t>Does the roadmap include provisions for VoIP architecture?</t>
  </si>
  <si>
    <t>Are software development costs tracked as a separate budget item?</t>
  </si>
  <si>
    <t>Who does the bulk of your software development?</t>
  </si>
  <si>
    <t>How would you describe your software development practices?</t>
  </si>
  <si>
    <t>Do you have access - internally or externally - to the skills required to build a new application?</t>
  </si>
  <si>
    <t>Do you have access - internally or externally - to the skills required to customize an existing application?</t>
  </si>
  <si>
    <t>Do you use modular or reusable development techniques (on a percentage basis)?</t>
  </si>
  <si>
    <t>Do you differentiate between test and production environments? Have you implemented a software development test environment?</t>
  </si>
  <si>
    <t>Do your developers possess certification in current development environments?</t>
  </si>
  <si>
    <t>If so, approximately what percentage of them could be considered “current”?</t>
  </si>
  <si>
    <t>Do you currently have a helpdesk for technology support?</t>
  </si>
  <si>
    <t xml:space="preserve"> Do you use a ticket management system?</t>
  </si>
  <si>
    <t>If so, how mature is this product?</t>
  </si>
  <si>
    <t>Do you have dedicated Tier 2 resources for escalated problems?</t>
  </si>
  <si>
    <t>Are active tickets case managed until closure?</t>
  </si>
  <si>
    <t>What do you do with the tickets once they’ve been resolved?</t>
  </si>
  <si>
    <t>Does your helpdesk handle other types of calls, including service requests, installs/moves/adds/changes, etc?</t>
  </si>
  <si>
    <t>Have you implemented Incident Management practices as outlined in the Information Technology Infrastructure Library (ITIL)?</t>
  </si>
  <si>
    <t>Do your helpdesk resources participate in activities sponsored by groups like Helpdesk Institute?</t>
  </si>
  <si>
    <t>Do you actively manage requests for changes to infrastructure?</t>
  </si>
  <si>
    <t>Do you have resources dedicated to Change Management functions?</t>
  </si>
  <si>
    <t>Do your Change Management personnel actively work with project teams?</t>
  </si>
  <si>
    <t>Do your Change Management personnel actively work with ongoing support teams?</t>
  </si>
  <si>
    <t>As a percentage, how much of your server administration time is allocated to routine server maintenance?</t>
  </si>
  <si>
    <t>Are learnings from Change Management incorporated into future projects?</t>
  </si>
  <si>
    <t>Are Change Management requests tracked by your Helpdesk?</t>
  </si>
  <si>
    <t>How would you describe Change Management reporting?</t>
  </si>
  <si>
    <t>Do you actively manage requests to install, move or add new hardware to your existing infrastructure?</t>
  </si>
  <si>
    <t>Do you have resources dedicated to installing, moving or adding new hardware?</t>
  </si>
  <si>
    <t>Do you have processes for installs, moves and additions defined, documented and distributed?</t>
  </si>
  <si>
    <t>Do your IMAC personnel actively work with project teams?</t>
  </si>
  <si>
    <t>Do your IMAC personnel actively work with ongoing support teams?</t>
  </si>
  <si>
    <t>Do your IMAC personnel actively work with your systems architects?</t>
  </si>
  <si>
    <t>Are learnings from IMAC incorporated into future projects?</t>
  </si>
  <si>
    <t>Are IMAC requests tracked by your Helpdesk?</t>
  </si>
  <si>
    <t>How do end users submit IMAC requests?</t>
  </si>
  <si>
    <t>How would you describe IMAC-related reporting?</t>
  </si>
  <si>
    <t>Have you implemented Install, Move, Add, &amp; Change (IMAC) processes as outlined in the Information Technology Infrastructure Library (ITIL)?</t>
  </si>
  <si>
    <t>Is Project Management treated as a unique discipline within your IT organization?</t>
  </si>
  <si>
    <t>Who actually manages the IT projects within your organization?</t>
  </si>
  <si>
    <t>Has your IT organization defined a manager for all IT PMs?</t>
  </si>
  <si>
    <t>Are PM-related skills a distinct part of your IT skills inventory?</t>
  </si>
  <si>
    <t>What software are you currently using to actively manage projects?</t>
  </si>
  <si>
    <t>What percentage of your PMs currently have or are pursuing the PMP designation?</t>
  </si>
  <si>
    <t>Are projects funded out of a separate IT budget?</t>
  </si>
  <si>
    <t>What type of reporting structure is in place for in-progress projects?</t>
  </si>
  <si>
    <t>Is project cost tracking integrated into your overall IT financial management structure?</t>
  </si>
  <si>
    <t>Do you conduct post-implementation reviews?</t>
  </si>
  <si>
    <t>Are the results of your PIRs used as learnings for future projects?</t>
  </si>
  <si>
    <t>Is IT accountable for the IT budgeting process?</t>
  </si>
  <si>
    <t>Is Financial Management treated as a unique discipline within your IT organization?</t>
  </si>
  <si>
    <t>Does your IT department use a chargeback system to allocate costs?</t>
  </si>
  <si>
    <t>Has your IT organization defined and implemented a Financial Manager role?</t>
  </si>
  <si>
    <t>Are Financial Management skills a distinct part of your IT skills inventory?</t>
  </si>
  <si>
    <t>16. Installs, Moves, &amp; Additions</t>
  </si>
  <si>
    <t>Do you use software to track and report on IT financial performance?</t>
  </si>
  <si>
    <t>Does your IT department subscribe to published IT Financial Management processes?</t>
  </si>
  <si>
    <t>Is Financial Management involved in project and operational planning?</t>
  </si>
  <si>
    <t>Have you implemented Service Level Agreements for the core business services provided by IT?</t>
  </si>
  <si>
    <t>Have you implemented Service Level Agreements for the external services either provided by or for IT?</t>
  </si>
  <si>
    <t>If you have SLAs, how often are they updated?</t>
  </si>
  <si>
    <t>If you have SLAs, are they published?</t>
  </si>
  <si>
    <t>If your SLAs are published, where are they stored?</t>
  </si>
  <si>
    <t>Are your lines of business involved in SLA-related negotiations?</t>
  </si>
  <si>
    <t>Has your IT organization defined a unique SLA management role?</t>
  </si>
  <si>
    <t>Who is involved in the SLA negotiation and production process?</t>
  </si>
  <si>
    <t>Is SLA compliance enforced?</t>
  </si>
  <si>
    <t>Are non-compliance consequences published throughout your organization?</t>
  </si>
  <si>
    <t>Who is accountable for hiring IT personnel?</t>
  </si>
  <si>
    <t>Are your IT hiring processes different from non-IT hiring processes?</t>
  </si>
  <si>
    <t>Are your IT hiring processes documented?</t>
  </si>
  <si>
    <t>Who manages career progression for IT staff?</t>
  </si>
  <si>
    <t>Is there a defined career path for IT staff?</t>
  </si>
  <si>
    <t>How often are IT staff evaluated?</t>
  </si>
  <si>
    <t>How often do you evaluate market compensation rates for IT professionals?</t>
  </si>
  <si>
    <t>Where is your compensation structure relative to the current market?</t>
  </si>
  <si>
    <t>What is your annual turnover rate?</t>
  </si>
  <si>
    <t>Do you actively solicit feedback from employees through surveys and other similar means?</t>
  </si>
  <si>
    <t>IT Infrastructure Support Functions</t>
  </si>
  <si>
    <t>Refers to the contractual documentation that defines expectations between IT and its upstream and downstream constituents, including end users, businesses, suppliers and vendors.</t>
  </si>
  <si>
    <t>#</t>
  </si>
  <si>
    <t>Score</t>
  </si>
  <si>
    <t>Question</t>
  </si>
  <si>
    <t>Response</t>
  </si>
  <si>
    <t>Recommendations</t>
  </si>
  <si>
    <t>Client PCs include all desktop and laptop computers that connect to the corporate network. Proactive management of these resources can result in significant cost savings and increased functionality for end users.</t>
  </si>
  <si>
    <t>Make security considerations integral components of your network management plan. One cannot exist without the other.</t>
  </si>
  <si>
    <t>External access to organizational technology can enhance your staff members' productivity. Make sure you consider all security implications, however.</t>
  </si>
  <si>
    <t>The firewall represents the foundation of network security. If you do not yet have a hardware or software firewall, implementing one should be your highest priority.</t>
  </si>
  <si>
    <t>Consider implementing a DMZ to minimize threats to secure data from external visitors.</t>
  </si>
  <si>
    <t>Security threats are constantly evolving. Allocate resources to protecting your assets, and plan this work as you would any other type of system implementation.</t>
  </si>
  <si>
    <t>Make security provisions a fundamental requirement of all planning activities. Their inclusion must be a condition of sign-off in every case.</t>
  </si>
  <si>
    <t>Security is a core IT function. Full-timeers are optimal. If you are unable to justify a full-time staff member, make sure any part-timers are solidly allocated to this work.</t>
  </si>
  <si>
    <r>
      <t xml:space="preserve">Penetration testing by independent experts is an ideal method of identifying your security weaknesses - </t>
    </r>
    <r>
      <rPr>
        <i/>
        <sz val="10"/>
        <rFont val="Arial"/>
        <family val="2"/>
      </rPr>
      <t xml:space="preserve">before </t>
    </r>
    <r>
      <rPr>
        <sz val="10"/>
        <rFont val="Arial"/>
        <family val="2"/>
      </rPr>
      <t>a real intruder breaks in and causes real damage.</t>
    </r>
  </si>
  <si>
    <r>
      <t xml:space="preserve">Note: </t>
    </r>
    <r>
      <rPr>
        <sz val="10"/>
        <rFont val="Arial"/>
        <family val="2"/>
      </rPr>
      <t>After you have filled out this spreadsheet, we recommend you print out a copy to capture the recommendations that will result from the process.</t>
    </r>
  </si>
  <si>
    <t>2. Peripherals Management</t>
  </si>
  <si>
    <t>Includes all non-PC devices connected to the corporate network, such as printers, scanners, and plotters. As with client PCs, active management of these resources can benefit your organization's bottom line.</t>
  </si>
  <si>
    <t>Sheet A - Client PCs &amp; Peripherals</t>
  </si>
  <si>
    <t>1. Client PC Management</t>
  </si>
  <si>
    <t>3. Servers</t>
  </si>
  <si>
    <t>4. Internal Network</t>
  </si>
  <si>
    <t>Refers to all network-related components dedicated to establishing and maintaining communication within the organization's firewall.</t>
  </si>
  <si>
    <t>5. External Network</t>
  </si>
  <si>
    <r>
      <t>2. Weightings:</t>
    </r>
    <r>
      <rPr>
        <sz val="10"/>
        <rFont val="Arial"/>
        <family val="2"/>
      </rPr>
      <t xml:space="preserve"> Some categories may mean more or less to you, depending on your particular situation. Take some time to consider the relative weightings of the ten Segmented Infrastructure categories. If you feel they are all equal, assign a value of 10% to each one. Otherwise, adjust each in accordance with how critical you feel each is to your overall IT and business functionality. Ensure the total value - calculated at the bottom - is not above or below 100%.</t>
    </r>
  </si>
  <si>
    <r>
      <t xml:space="preserve">5. Ranking and Results: </t>
    </r>
    <r>
      <rPr>
        <sz val="10"/>
        <rFont val="Arial"/>
        <family val="2"/>
      </rPr>
      <t>Averages for each sub-category will be calculated below the appropriate set of questions. Averages at the top of each lettered sheet outline maturity scores for each category within the Segmented Infrastructure. Category rankings range between 0 and 4, with 0 representing a relatively immature environment, and 4 indicating robust maturity.</t>
    </r>
  </si>
  <si>
    <t>Weighted Maturity Ratio</t>
  </si>
  <si>
    <r>
      <t xml:space="preserve">Weighted Maturity ratings express these results by incorporating the weightings you assigned to each category in the Weightings tab earlier in this process. They are calculated as follows: </t>
    </r>
    <r>
      <rPr>
        <b/>
        <sz val="10"/>
        <rFont val="Arial"/>
        <family val="2"/>
      </rPr>
      <t>((4 - Unweighted Maturity Level) x Assigned Category Weighting) x 100</t>
    </r>
  </si>
  <si>
    <t>The range of resulting values in the Weighted Maturity Ratio table can be between zero and 400, with the higher figures indicating categories requiring priority attention.</t>
  </si>
  <si>
    <r>
      <t xml:space="preserve">We recognize that each category within the Segmented Infrastructure Model may be more or less important to an organization, and that every organization will likely place different levels of importance on each. You can customize this weighting based on your company's specific needs or requirements. For example, a smaller organization with relatively simple software implementation issues may wish to place a lower level of importance on the Software category than an organization that custom builds and supports its own packages.
</t>
    </r>
    <r>
      <rPr>
        <b/>
        <sz val="10"/>
        <rFont val="Arial"/>
        <family val="2"/>
      </rPr>
      <t>Instructions:</t>
    </r>
    <r>
      <rPr>
        <sz val="10"/>
        <rFont val="Arial"/>
        <family val="2"/>
      </rPr>
      <t xml:space="preserve"> To change the weight of any given category, simply type in the appropriate entries, ensuring that the total is not above or below 100%. The weighting figures entered here will be automatically updated on the Results tab.</t>
    </r>
  </si>
  <si>
    <t>Enter weighting values for each category. Ensure total is not above or below 100%.</t>
  </si>
  <si>
    <t>Refers to all computers dedicated to the management of shared resources within your computing environment.</t>
  </si>
  <si>
    <t>Are your DBAs members of industry-specific organizations?</t>
  </si>
  <si>
    <t>Refers to the process of controlling changes to hardware and software as a means of minimizing disruption to operations.</t>
  </si>
  <si>
    <t>Is your organization involved with industry-standard groups like Project Management Institute?</t>
  </si>
  <si>
    <t>Refers to all network-related components dedicated to establishing and maintaining communication with external-to-the-firewall resources.</t>
  </si>
  <si>
    <t>How is your organization currently connected to the Internet?</t>
  </si>
  <si>
    <t>Do you currently have an inventory or map of your external network configuration?</t>
  </si>
  <si>
    <t>If you have a network management plan, does it include your external connections?</t>
  </si>
  <si>
    <t>Do you have a roadmap for your external network?</t>
  </si>
  <si>
    <t>Your purchases of hardware, software or services for your external network are based on…</t>
  </si>
  <si>
    <t>As a percentage, how much of your network administration time is allocated to routine maintenance of your WAN?</t>
  </si>
  <si>
    <t>Who supports your external network?</t>
  </si>
  <si>
    <t>Do you conduct bandwidth analysis to ensure your external connection is optimally utilized?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</si>
</sst>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26">
    <font>
      <sz val="10"/>
      <name val="Arial"/>
      <family val="0"/>
    </font>
    <font>
      <b/>
      <sz val="10"/>
      <name val="Arial"/>
      <family val="2"/>
    </font>
    <font>
      <b/>
      <sz val="26"/>
      <name val="Arial"/>
      <family val="2"/>
    </font>
    <font>
      <b/>
      <sz val="20"/>
      <name val="Arial"/>
      <family val="2"/>
    </font>
    <font>
      <u val="single"/>
      <sz val="8"/>
      <color indexed="12"/>
      <name val="Arial"/>
      <family val="0"/>
    </font>
    <font>
      <u val="single"/>
      <sz val="8"/>
      <color indexed="36"/>
      <name val="Arial"/>
      <family val="0"/>
    </font>
    <font>
      <b/>
      <sz val="18"/>
      <color indexed="9"/>
      <name val="Arial"/>
      <family val="2"/>
    </font>
    <font>
      <i/>
      <sz val="11"/>
      <color indexed="8"/>
      <name val="Arial"/>
      <family val="2"/>
    </font>
    <font>
      <b/>
      <sz val="11"/>
      <name val="Arial"/>
      <family val="2"/>
    </font>
    <font>
      <sz val="8"/>
      <name val="Tahoma"/>
      <family val="0"/>
    </font>
    <font>
      <b/>
      <sz val="8"/>
      <name val="Tahoma"/>
      <family val="0"/>
    </font>
    <font>
      <b/>
      <i/>
      <sz val="20"/>
      <name val="Arial"/>
      <family val="2"/>
    </font>
    <font>
      <sz val="14"/>
      <color indexed="9"/>
      <name val="Verdana"/>
      <family val="2"/>
    </font>
    <font>
      <b/>
      <sz val="12"/>
      <name val="Arial"/>
      <family val="2"/>
    </font>
    <font>
      <i/>
      <sz val="10"/>
      <name val="Arial"/>
      <family val="2"/>
    </font>
    <font>
      <b/>
      <i/>
      <sz val="10"/>
      <name val="Arial"/>
      <family val="2"/>
    </font>
    <font>
      <b/>
      <sz val="14"/>
      <name val="Arial"/>
      <family val="2"/>
    </font>
    <font>
      <b/>
      <sz val="10"/>
      <color indexed="8"/>
      <name val="Arial"/>
      <family val="2"/>
    </font>
    <font>
      <b/>
      <sz val="11.5"/>
      <name val="Arial"/>
      <family val="2"/>
    </font>
    <font>
      <sz val="8"/>
      <name val="Arial"/>
      <family val="0"/>
    </font>
    <font>
      <sz val="18"/>
      <name val="Verdana"/>
      <family val="2"/>
    </font>
    <font>
      <sz val="12"/>
      <name val="Arial"/>
      <family val="0"/>
    </font>
    <font>
      <b/>
      <sz val="12"/>
      <color indexed="8"/>
      <name val="Arial"/>
      <family val="2"/>
    </font>
    <font>
      <b/>
      <sz val="12"/>
      <color indexed="18"/>
      <name val="Arial"/>
      <family val="2"/>
    </font>
    <font>
      <b/>
      <sz val="12"/>
      <color indexed="58"/>
      <name val="Arial"/>
      <family val="2"/>
    </font>
    <font>
      <b/>
      <sz val="8"/>
      <name val="Arial"/>
      <family val="2"/>
    </font>
  </fonts>
  <fills count="13">
    <fill>
      <patternFill/>
    </fill>
    <fill>
      <patternFill patternType="gray125"/>
    </fill>
    <fill>
      <patternFill patternType="solid">
        <fgColor indexed="46"/>
        <bgColor indexed="64"/>
      </patternFill>
    </fill>
    <fill>
      <patternFill patternType="solid">
        <fgColor indexed="18"/>
        <bgColor indexed="64"/>
      </patternFill>
    </fill>
    <fill>
      <patternFill patternType="solid">
        <fgColor indexed="45"/>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
      <patternFill patternType="solid">
        <fgColor indexed="57"/>
        <bgColor indexed="64"/>
      </patternFill>
    </fill>
    <fill>
      <patternFill patternType="solid">
        <fgColor indexed="9"/>
        <bgColor indexed="64"/>
      </patternFill>
    </fill>
    <fill>
      <patternFill patternType="solid">
        <fgColor indexed="26"/>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2" fontId="1" fillId="0" borderId="1" xfId="0" applyNumberFormat="1" applyFont="1" applyBorder="1" applyAlignment="1">
      <alignment vertical="center" wrapText="1"/>
    </xf>
    <xf numFmtId="0" fontId="2" fillId="2" borderId="0" xfId="0" applyFont="1" applyFill="1" applyBorder="1" applyAlignment="1">
      <alignment horizontal="center" vertical="center" wrapText="1"/>
    </xf>
    <xf numFmtId="0" fontId="7" fillId="0" borderId="2" xfId="0" applyFont="1" applyFill="1" applyBorder="1" applyAlignment="1">
      <alignment horizontal="left" indent="1"/>
    </xf>
    <xf numFmtId="0" fontId="7" fillId="0" borderId="2" xfId="0" applyFont="1" applyFill="1" applyBorder="1" applyAlignment="1">
      <alignment horizontal="left" wrapText="1"/>
    </xf>
    <xf numFmtId="0" fontId="8" fillId="2" borderId="1" xfId="0" applyFont="1" applyFill="1" applyBorder="1" applyAlignment="1">
      <alignment horizontal="center" wrapText="1"/>
    </xf>
    <xf numFmtId="9" fontId="8" fillId="2" borderId="1" xfId="21" applyFont="1" applyFill="1" applyBorder="1" applyAlignment="1">
      <alignment horizontal="center" wrapText="1"/>
    </xf>
    <xf numFmtId="49" fontId="8" fillId="2" borderId="1" xfId="0" applyNumberFormat="1" applyFont="1" applyFill="1" applyBorder="1" applyAlignment="1">
      <alignment horizontal="center" wrapText="1"/>
    </xf>
    <xf numFmtId="0" fontId="12" fillId="3" borderId="3" xfId="0" applyFont="1" applyFill="1" applyBorder="1" applyAlignment="1">
      <alignment horizontal="center"/>
    </xf>
    <xf numFmtId="0" fontId="0" fillId="0" borderId="0" xfId="0" applyAlignment="1">
      <alignment wrapText="1"/>
    </xf>
    <xf numFmtId="9" fontId="0" fillId="0" borderId="0" xfId="0" applyNumberFormat="1" applyAlignment="1">
      <alignment/>
    </xf>
    <xf numFmtId="0" fontId="1" fillId="0" borderId="0" xfId="0" applyFont="1" applyAlignment="1">
      <alignment/>
    </xf>
    <xf numFmtId="9" fontId="1" fillId="0" borderId="0" xfId="0" applyNumberFormat="1" applyFont="1" applyAlignment="1">
      <alignment/>
    </xf>
    <xf numFmtId="9" fontId="0" fillId="0" borderId="0" xfId="21" applyAlignment="1">
      <alignment/>
    </xf>
    <xf numFmtId="0" fontId="2" fillId="0" borderId="0" xfId="0" applyFont="1" applyFill="1" applyBorder="1" applyAlignment="1">
      <alignment horizontal="center" vertical="center" wrapText="1"/>
    </xf>
    <xf numFmtId="0" fontId="0" fillId="4" borderId="0" xfId="0" applyFill="1" applyBorder="1" applyAlignment="1">
      <alignment/>
    </xf>
    <xf numFmtId="0" fontId="13" fillId="4" borderId="0" xfId="0" applyFont="1" applyFill="1" applyBorder="1" applyAlignment="1">
      <alignment/>
    </xf>
    <xf numFmtId="0" fontId="0" fillId="4" borderId="0" xfId="0" applyFont="1" applyFill="1" applyBorder="1" applyAlignment="1">
      <alignment/>
    </xf>
    <xf numFmtId="9" fontId="13" fillId="4" borderId="0" xfId="21" applyFont="1" applyFill="1" applyBorder="1" applyAlignment="1">
      <alignment horizontal="center"/>
    </xf>
    <xf numFmtId="9" fontId="0" fillId="4" borderId="0" xfId="0" applyNumberFormat="1" applyFill="1" applyBorder="1" applyAlignment="1">
      <alignment horizontal="center"/>
    </xf>
    <xf numFmtId="0" fontId="0" fillId="4" borderId="0" xfId="0" applyFont="1" applyFill="1" applyBorder="1" applyAlignment="1">
      <alignment horizontal="center"/>
    </xf>
    <xf numFmtId="0" fontId="1" fillId="4" borderId="0" xfId="0" applyFont="1" applyFill="1" applyBorder="1" applyAlignment="1">
      <alignment/>
    </xf>
    <xf numFmtId="0" fontId="13" fillId="4" borderId="0" xfId="0" applyFont="1" applyFill="1" applyBorder="1" applyAlignment="1">
      <alignment horizontal="center"/>
    </xf>
    <xf numFmtId="0" fontId="0" fillId="2" borderId="0" xfId="0" applyFill="1" applyBorder="1" applyAlignment="1">
      <alignment/>
    </xf>
    <xf numFmtId="0" fontId="13" fillId="2" borderId="0" xfId="0" applyFont="1" applyFill="1" applyBorder="1" applyAlignment="1">
      <alignment horizontal="center"/>
    </xf>
    <xf numFmtId="0" fontId="15" fillId="5" borderId="2" xfId="0" applyFont="1" applyFill="1" applyBorder="1" applyAlignment="1">
      <alignment/>
    </xf>
    <xf numFmtId="0" fontId="0" fillId="5" borderId="2" xfId="0" applyFill="1" applyBorder="1" applyAlignment="1">
      <alignment/>
    </xf>
    <xf numFmtId="0" fontId="1" fillId="5" borderId="4" xfId="0" applyFont="1" applyFill="1" applyBorder="1" applyAlignment="1">
      <alignment horizontal="left" vertical="center" wrapText="1" indent="1"/>
    </xf>
    <xf numFmtId="9" fontId="1" fillId="5" borderId="4" xfId="0" applyNumberFormat="1" applyFont="1" applyFill="1" applyBorder="1" applyAlignment="1">
      <alignment horizontal="center" vertical="center"/>
    </xf>
    <xf numFmtId="165" fontId="1" fillId="5" borderId="4" xfId="0" applyNumberFormat="1" applyFont="1" applyFill="1" applyBorder="1" applyAlignment="1">
      <alignment horizontal="center" vertical="center"/>
    </xf>
    <xf numFmtId="0" fontId="1" fillId="4" borderId="1" xfId="0" applyFont="1" applyFill="1" applyBorder="1" applyAlignment="1" applyProtection="1">
      <alignment horizontal="center" vertical="center" wrapText="1"/>
      <protection locked="0"/>
    </xf>
    <xf numFmtId="16" fontId="1" fillId="4" borderId="1" xfId="0" applyNumberFormat="1" applyFont="1" applyFill="1" applyBorder="1" applyAlignment="1" applyProtection="1">
      <alignment horizontal="center" vertical="center" wrapText="1"/>
      <protection locked="0"/>
    </xf>
    <xf numFmtId="1" fontId="0" fillId="5" borderId="1" xfId="21" applyNumberFormat="1" applyFill="1" applyBorder="1" applyAlignment="1">
      <alignment horizontal="center" vertical="center" wrapText="1"/>
    </xf>
    <xf numFmtId="0" fontId="7" fillId="0" borderId="5" xfId="0" applyFont="1" applyFill="1" applyBorder="1" applyAlignment="1">
      <alignment horizontal="left" indent="1"/>
    </xf>
    <xf numFmtId="0" fontId="0" fillId="0" borderId="0" xfId="0" applyBorder="1" applyAlignment="1">
      <alignment/>
    </xf>
    <xf numFmtId="0" fontId="0" fillId="0" borderId="6" xfId="0" applyBorder="1" applyAlignment="1">
      <alignment/>
    </xf>
    <xf numFmtId="0" fontId="1" fillId="0" borderId="0" xfId="0" applyFont="1" applyAlignment="1">
      <alignment horizontal="center" wrapText="1"/>
    </xf>
    <xf numFmtId="9" fontId="2" fillId="0" borderId="0" xfId="21" applyFont="1" applyFill="1" applyBorder="1" applyAlignment="1">
      <alignment horizontal="center" vertical="center" wrapText="1"/>
    </xf>
    <xf numFmtId="9" fontId="2" fillId="0" borderId="0" xfId="21" applyFont="1" applyFill="1" applyBorder="1" applyAlignment="1">
      <alignment vertical="center" wrapText="1"/>
    </xf>
    <xf numFmtId="0" fontId="16" fillId="5" borderId="1" xfId="0" applyFont="1" applyFill="1" applyBorder="1" applyAlignment="1">
      <alignment horizontal="center" vertical="center" wrapText="1"/>
    </xf>
    <xf numFmtId="1" fontId="3" fillId="6" borderId="1" xfId="21" applyNumberFormat="1" applyFont="1" applyFill="1" applyBorder="1" applyAlignment="1">
      <alignment horizontal="center" vertical="center" wrapText="1"/>
    </xf>
    <xf numFmtId="1" fontId="3" fillId="7" borderId="1" xfId="21" applyNumberFormat="1" applyFont="1" applyFill="1" applyBorder="1" applyAlignment="1">
      <alignment horizontal="center" vertical="center" wrapText="1"/>
    </xf>
    <xf numFmtId="1" fontId="3" fillId="8" borderId="1" xfId="21" applyNumberFormat="1" applyFont="1" applyFill="1" applyBorder="1" applyAlignment="1">
      <alignment horizontal="center" vertical="center" wrapText="1"/>
    </xf>
    <xf numFmtId="1" fontId="3" fillId="9" borderId="1" xfId="21" applyNumberFormat="1" applyFont="1" applyFill="1" applyBorder="1" applyAlignment="1">
      <alignment horizontal="center" vertical="center" wrapText="1"/>
    </xf>
    <xf numFmtId="1" fontId="3" fillId="10" borderId="1" xfId="21"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applyAlignment="1">
      <alignment vertical="center" wrapText="1"/>
    </xf>
    <xf numFmtId="0" fontId="1" fillId="11" borderId="0" xfId="0" applyFont="1" applyFill="1" applyAlignment="1">
      <alignment horizontal="left" wrapText="1" indent="1"/>
    </xf>
    <xf numFmtId="0" fontId="0" fillId="0" borderId="0" xfId="0" applyAlignment="1">
      <alignment horizontal="left" indent="1"/>
    </xf>
    <xf numFmtId="0" fontId="11" fillId="4" borderId="0" xfId="0" applyFont="1" applyFill="1" applyBorder="1" applyAlignment="1">
      <alignment horizontal="center" vertical="center" wrapText="1"/>
    </xf>
    <xf numFmtId="0" fontId="1" fillId="0" borderId="7" xfId="0" applyFont="1" applyBorder="1" applyAlignment="1">
      <alignment vertical="center" wrapText="1"/>
    </xf>
    <xf numFmtId="1" fontId="0" fillId="5" borderId="7" xfId="21" applyNumberFormat="1" applyFill="1" applyBorder="1" applyAlignment="1">
      <alignment horizontal="center" vertical="center" wrapText="1"/>
    </xf>
    <xf numFmtId="0" fontId="8" fillId="5" borderId="1" xfId="0" applyFont="1" applyFill="1" applyBorder="1" applyAlignment="1">
      <alignment horizontal="center" vertical="center" wrapText="1"/>
    </xf>
    <xf numFmtId="165" fontId="8" fillId="5" borderId="1" xfId="21" applyNumberFormat="1" applyFont="1" applyFill="1" applyBorder="1" applyAlignment="1">
      <alignment horizontal="center" vertical="center" wrapText="1"/>
    </xf>
    <xf numFmtId="2" fontId="1" fillId="0" borderId="7" xfId="0" applyNumberFormat="1" applyFont="1" applyBorder="1" applyAlignment="1">
      <alignment vertical="center" wrapText="1"/>
    </xf>
    <xf numFmtId="0" fontId="20" fillId="0" borderId="0" xfId="0" applyFont="1" applyAlignment="1">
      <alignment horizontal="center"/>
    </xf>
    <xf numFmtId="0" fontId="14" fillId="11" borderId="0" xfId="0" applyFont="1" applyFill="1" applyAlignment="1">
      <alignment horizontal="left" wrapText="1" indent="1"/>
    </xf>
    <xf numFmtId="0" fontId="21" fillId="5" borderId="2" xfId="0" applyFont="1" applyFill="1" applyBorder="1" applyAlignment="1">
      <alignment/>
    </xf>
    <xf numFmtId="0" fontId="13" fillId="5" borderId="5" xfId="0" applyFont="1" applyFill="1" applyBorder="1" applyAlignment="1">
      <alignment horizontal="center" wrapText="1"/>
    </xf>
    <xf numFmtId="0" fontId="13" fillId="5" borderId="2" xfId="0" applyFont="1" applyFill="1" applyBorder="1" applyAlignment="1">
      <alignment horizontal="center" wrapText="1"/>
    </xf>
    <xf numFmtId="0" fontId="13" fillId="5" borderId="0" xfId="0" applyFont="1" applyFill="1" applyAlignment="1">
      <alignment/>
    </xf>
    <xf numFmtId="165" fontId="23" fillId="5" borderId="8" xfId="0" applyNumberFormat="1" applyFont="1" applyFill="1" applyBorder="1" applyAlignment="1">
      <alignment horizontal="center"/>
    </xf>
    <xf numFmtId="9" fontId="17" fillId="5" borderId="1" xfId="21" applyFont="1" applyFill="1" applyBorder="1" applyAlignment="1" applyProtection="1">
      <alignment horizontal="center"/>
      <protection locked="0"/>
    </xf>
    <xf numFmtId="9" fontId="24" fillId="5" borderId="0" xfId="0" applyNumberFormat="1" applyFont="1" applyFill="1" applyAlignment="1">
      <alignment horizontal="center"/>
    </xf>
    <xf numFmtId="165" fontId="22" fillId="5" borderId="0" xfId="0" applyNumberFormat="1" applyFont="1" applyFill="1" applyAlignment="1">
      <alignment horizontal="center"/>
    </xf>
    <xf numFmtId="0" fontId="0" fillId="0" borderId="1" xfId="0" applyBorder="1" applyAlignment="1">
      <alignment horizontal="left" vertical="center" wrapText="1" indent="1"/>
    </xf>
    <xf numFmtId="0" fontId="14" fillId="4" borderId="0" xfId="0" applyFont="1" applyFill="1" applyBorder="1" applyAlignment="1">
      <alignment horizontal="center"/>
    </xf>
    <xf numFmtId="0" fontId="2" fillId="2" borderId="0" xfId="0" applyFont="1" applyFill="1" applyBorder="1" applyAlignment="1">
      <alignment horizontal="center" vertical="center" wrapText="1"/>
    </xf>
    <xf numFmtId="0" fontId="0" fillId="11" borderId="0" xfId="0" applyFont="1" applyFill="1" applyAlignment="1">
      <alignment horizontal="left" wrapText="1" indent="1"/>
    </xf>
    <xf numFmtId="0" fontId="11" fillId="4" borderId="0" xfId="0" applyFont="1" applyFill="1" applyBorder="1" applyAlignment="1">
      <alignment horizontal="center" vertical="center" wrapText="1"/>
    </xf>
    <xf numFmtId="0" fontId="0" fillId="11" borderId="0" xfId="0" applyFont="1" applyFill="1" applyAlignment="1">
      <alignment horizontal="left" wrapText="1"/>
    </xf>
    <xf numFmtId="0" fontId="6" fillId="3" borderId="0" xfId="0" applyFont="1" applyFill="1" applyBorder="1" applyAlignment="1">
      <alignment horizontal="left" wrapText="1"/>
    </xf>
    <xf numFmtId="0" fontId="0" fillId="5" borderId="3" xfId="0" applyFill="1" applyBorder="1" applyAlignment="1">
      <alignment horizontal="center"/>
    </xf>
    <xf numFmtId="0" fontId="0" fillId="5" borderId="4" xfId="0" applyFill="1" applyBorder="1" applyAlignment="1">
      <alignment horizontal="center"/>
    </xf>
    <xf numFmtId="0" fontId="3" fillId="2" borderId="0"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5" borderId="9" xfId="0" applyFill="1" applyBorder="1" applyAlignment="1">
      <alignment horizontal="center"/>
    </xf>
    <xf numFmtId="0" fontId="6" fillId="3" borderId="10" xfId="0" applyFont="1" applyFill="1" applyBorder="1" applyAlignment="1">
      <alignment horizontal="left" wrapText="1"/>
    </xf>
    <xf numFmtId="0" fontId="6" fillId="3" borderId="11" xfId="0" applyFont="1" applyFill="1" applyBorder="1" applyAlignment="1">
      <alignment horizontal="left" wrapText="1"/>
    </xf>
    <xf numFmtId="0" fontId="6" fillId="3" borderId="12" xfId="0" applyFont="1" applyFill="1" applyBorder="1" applyAlignment="1">
      <alignment horizontal="left" wrapText="1"/>
    </xf>
    <xf numFmtId="0" fontId="0" fillId="11" borderId="0" xfId="0" applyFill="1" applyBorder="1" applyAlignment="1">
      <alignment horizontal="left" vertical="center" wrapText="1" indent="1"/>
    </xf>
    <xf numFmtId="9" fontId="2" fillId="4" borderId="0" xfId="21" applyFont="1" applyFill="1" applyBorder="1" applyAlignment="1">
      <alignment horizontal="center" vertical="center" wrapText="1"/>
    </xf>
    <xf numFmtId="0" fontId="1" fillId="11" borderId="0" xfId="0" applyFont="1" applyFill="1" applyBorder="1" applyAlignment="1">
      <alignment horizontal="left" vertical="center" wrapText="1" indent="1"/>
    </xf>
    <xf numFmtId="0" fontId="2" fillId="4" borderId="0"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FFFFFF"/>
      </font>
      <border/>
    </dxf>
    <dxf>
      <font>
        <b/>
        <i val="0"/>
        <color rgb="FFFF0000"/>
      </font>
      <border/>
    </dxf>
    <dxf>
      <font>
        <color rgb="FFC0C0C0"/>
      </font>
      <border/>
    </dxf>
    <dxf>
      <font>
        <b/>
        <i val="0"/>
        <color rgb="FFFF66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FFCD"/>
      <rgbColor rgb="00D0D1A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50" b="1" i="0" u="none" baseline="0">
              <a:latin typeface="Arial"/>
              <a:ea typeface="Arial"/>
              <a:cs typeface="Arial"/>
            </a:defRPr>
          </a:pPr>
        </a:p>
      </c:txPr>
    </c:title>
    <c:plotArea>
      <c:layout/>
      <c:radarChart>
        <c:radarStyle val="marker"/>
        <c:varyColors val="0"/>
        <c:ser>
          <c:idx val="0"/>
          <c:order val="0"/>
          <c:tx>
            <c:strRef>
              <c:f>Results!$C$5</c:f>
              <c:strCache>
                <c:ptCount val="1"/>
                <c:pt idx="0">
                  <c:v>S.I. Category Maturity</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Results!$B$6:$B$15</c:f>
              <c:strCache/>
            </c:strRef>
          </c:cat>
          <c:val>
            <c:numRef>
              <c:f>Results!$C$6:$C$15</c:f>
              <c:numCache/>
            </c:numRef>
          </c:val>
        </c:ser>
        <c:axId val="35692632"/>
        <c:axId val="52798233"/>
      </c:radarChart>
      <c:catAx>
        <c:axId val="35692632"/>
        <c:scaling>
          <c:orientation val="minMax"/>
        </c:scaling>
        <c:axPos val="b"/>
        <c:majorGridlines/>
        <c:delete val="0"/>
        <c:numFmt formatCode="General" sourceLinked="1"/>
        <c:majorTickMark val="out"/>
        <c:minorTickMark val="none"/>
        <c:tickLblPos val="nextTo"/>
        <c:crossAx val="52798233"/>
        <c:crosses val="autoZero"/>
        <c:auto val="1"/>
        <c:lblOffset val="100"/>
        <c:noMultiLvlLbl val="0"/>
      </c:catAx>
      <c:valAx>
        <c:axId val="52798233"/>
        <c:scaling>
          <c:orientation val="minMax"/>
        </c:scaling>
        <c:axPos val="l"/>
        <c:majorGridlines/>
        <c:delete val="0"/>
        <c:numFmt formatCode="General" sourceLinked="1"/>
        <c:majorTickMark val="in"/>
        <c:minorTickMark val="none"/>
        <c:tickLblPos val="nextTo"/>
        <c:crossAx val="35692632"/>
        <c:crossesAt val="1"/>
        <c:crossBetween val="between"/>
        <c:dispUnits/>
        <c:minorUnit val="0.04"/>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Weighted Maturity Ratio</a:t>
            </a:r>
          </a:p>
        </c:rich>
      </c:tx>
      <c:layout/>
      <c:spPr>
        <a:noFill/>
        <a:ln>
          <a:noFill/>
        </a:ln>
      </c:spPr>
    </c:title>
    <c:plotArea>
      <c:layout/>
      <c:radarChart>
        <c:radarStyle val="marker"/>
        <c:varyColors val="0"/>
        <c:ser>
          <c:idx val="0"/>
          <c:order val="0"/>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993300"/>
              </a:solidFill>
              <a:ln>
                <a:solidFill>
                  <a:srgbClr val="993300"/>
                </a:solidFill>
              </a:ln>
            </c:spPr>
          </c:marker>
          <c:cat>
            <c:strRef>
              <c:f>Results!$B$6:$B$15</c:f>
              <c:strCache/>
            </c:strRef>
          </c:cat>
          <c:val>
            <c:numRef>
              <c:f>Results!$E$6:$E$15</c:f>
              <c:numCache/>
            </c:numRef>
          </c:val>
        </c:ser>
        <c:axId val="5422050"/>
        <c:axId val="48798451"/>
      </c:radarChart>
      <c:catAx>
        <c:axId val="5422050"/>
        <c:scaling>
          <c:orientation val="minMax"/>
        </c:scaling>
        <c:axPos val="b"/>
        <c:majorGridlines/>
        <c:delete val="0"/>
        <c:numFmt formatCode="General" sourceLinked="1"/>
        <c:majorTickMark val="out"/>
        <c:minorTickMark val="none"/>
        <c:tickLblPos val="nextTo"/>
        <c:crossAx val="48798451"/>
        <c:crosses val="autoZero"/>
        <c:auto val="1"/>
        <c:lblOffset val="100"/>
        <c:noMultiLvlLbl val="0"/>
      </c:catAx>
      <c:valAx>
        <c:axId val="48798451"/>
        <c:scaling>
          <c:orientation val="minMax"/>
        </c:scaling>
        <c:axPos val="l"/>
        <c:majorGridlines/>
        <c:delete val="0"/>
        <c:numFmt formatCode="0" sourceLinked="0"/>
        <c:majorTickMark val="in"/>
        <c:minorTickMark val="none"/>
        <c:tickLblPos val="nextTo"/>
        <c:crossAx val="5422050"/>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2</xdr:col>
      <xdr:colOff>0</xdr:colOff>
      <xdr:row>5</xdr:row>
      <xdr:rowOff>0</xdr:rowOff>
    </xdr:to>
    <xdr:sp>
      <xdr:nvSpPr>
        <xdr:cNvPr id="1" name="Rectangle 1"/>
        <xdr:cNvSpPr>
          <a:spLocks/>
        </xdr:cNvSpPr>
      </xdr:nvSpPr>
      <xdr:spPr>
        <a:xfrm>
          <a:off x="180975" y="1076325"/>
          <a:ext cx="6791325"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2</xdr:col>
      <xdr:colOff>0</xdr:colOff>
      <xdr:row>3</xdr:row>
      <xdr:rowOff>0</xdr:rowOff>
    </xdr:to>
    <xdr:sp>
      <xdr:nvSpPr>
        <xdr:cNvPr id="2" name="Rectangle 2"/>
        <xdr:cNvSpPr>
          <a:spLocks/>
        </xdr:cNvSpPr>
      </xdr:nvSpPr>
      <xdr:spPr>
        <a:xfrm>
          <a:off x="180975" y="161925"/>
          <a:ext cx="679132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2</xdr:col>
      <xdr:colOff>0</xdr:colOff>
      <xdr:row>13</xdr:row>
      <xdr:rowOff>0</xdr:rowOff>
    </xdr:to>
    <xdr:sp>
      <xdr:nvSpPr>
        <xdr:cNvPr id="3" name="Rectangle 5"/>
        <xdr:cNvSpPr>
          <a:spLocks/>
        </xdr:cNvSpPr>
      </xdr:nvSpPr>
      <xdr:spPr>
        <a:xfrm>
          <a:off x="180975" y="1466850"/>
          <a:ext cx="6791325"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5</xdr:col>
      <xdr:colOff>0</xdr:colOff>
      <xdr:row>23</xdr:row>
      <xdr:rowOff>0</xdr:rowOff>
    </xdr:to>
    <xdr:sp>
      <xdr:nvSpPr>
        <xdr:cNvPr id="3" name="Rectangle 3"/>
        <xdr:cNvSpPr>
          <a:spLocks/>
        </xdr:cNvSpPr>
      </xdr:nvSpPr>
      <xdr:spPr>
        <a:xfrm>
          <a:off x="0" y="6781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5</xdr:col>
      <xdr:colOff>0</xdr:colOff>
      <xdr:row>37</xdr:row>
      <xdr:rowOff>0</xdr:rowOff>
    </xdr:to>
    <xdr:sp>
      <xdr:nvSpPr>
        <xdr:cNvPr id="4" name="Rectangle 4"/>
        <xdr:cNvSpPr>
          <a:spLocks/>
        </xdr:cNvSpPr>
      </xdr:nvSpPr>
      <xdr:spPr>
        <a:xfrm>
          <a:off x="0" y="11906250"/>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9"/>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3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33"/>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47825"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33650"/>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0</xdr:rowOff>
    </xdr:from>
    <xdr:to>
      <xdr:col>5</xdr:col>
      <xdr:colOff>0</xdr:colOff>
      <xdr:row>25</xdr:row>
      <xdr:rowOff>0</xdr:rowOff>
    </xdr:to>
    <xdr:sp>
      <xdr:nvSpPr>
        <xdr:cNvPr id="3" name="Rectangle 3"/>
        <xdr:cNvSpPr>
          <a:spLocks/>
        </xdr:cNvSpPr>
      </xdr:nvSpPr>
      <xdr:spPr>
        <a:xfrm>
          <a:off x="0" y="8153400"/>
          <a:ext cx="142017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0</xdr:rowOff>
    </xdr:from>
    <xdr:to>
      <xdr:col>5</xdr:col>
      <xdr:colOff>0</xdr:colOff>
      <xdr:row>25</xdr:row>
      <xdr:rowOff>0</xdr:rowOff>
    </xdr:to>
    <xdr:sp>
      <xdr:nvSpPr>
        <xdr:cNvPr id="4" name="Rectangle 4"/>
        <xdr:cNvSpPr>
          <a:spLocks/>
        </xdr:cNvSpPr>
      </xdr:nvSpPr>
      <xdr:spPr>
        <a:xfrm>
          <a:off x="0" y="8153400"/>
          <a:ext cx="142017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9"/>
        <xdr:cNvSpPr>
          <a:spLocks/>
        </xdr:cNvSpPr>
      </xdr:nvSpPr>
      <xdr:spPr>
        <a:xfrm>
          <a:off x="0" y="1371600"/>
          <a:ext cx="1647825"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27"/>
        <xdr:cNvSpPr>
          <a:spLocks/>
        </xdr:cNvSpPr>
      </xdr:nvSpPr>
      <xdr:spPr>
        <a:xfrm>
          <a:off x="1647825"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30"/>
        <xdr:cNvSpPr>
          <a:spLocks/>
        </xdr:cNvSpPr>
      </xdr:nvSpPr>
      <xdr:spPr>
        <a:xfrm>
          <a:off x="1647825"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3"/>
        <xdr:cNvSpPr>
          <a:spLocks/>
        </xdr:cNvSpPr>
      </xdr:nvSpPr>
      <xdr:spPr>
        <a:xfrm>
          <a:off x="1657350" y="161925"/>
          <a:ext cx="12544425"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7"/>
        <xdr:cNvSpPr>
          <a:spLocks/>
        </xdr:cNvSpPr>
      </xdr:nvSpPr>
      <xdr:spPr>
        <a:xfrm>
          <a:off x="0" y="2543175"/>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5</xdr:col>
      <xdr:colOff>0</xdr:colOff>
      <xdr:row>23</xdr:row>
      <xdr:rowOff>0</xdr:rowOff>
    </xdr:to>
    <xdr:sp>
      <xdr:nvSpPr>
        <xdr:cNvPr id="3" name="Rectangle 8"/>
        <xdr:cNvSpPr>
          <a:spLocks/>
        </xdr:cNvSpPr>
      </xdr:nvSpPr>
      <xdr:spPr>
        <a:xfrm>
          <a:off x="0" y="6800850"/>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5</xdr:col>
      <xdr:colOff>0</xdr:colOff>
      <xdr:row>38</xdr:row>
      <xdr:rowOff>0</xdr:rowOff>
    </xdr:to>
    <xdr:sp>
      <xdr:nvSpPr>
        <xdr:cNvPr id="4" name="Rectangle 9"/>
        <xdr:cNvSpPr>
          <a:spLocks/>
        </xdr:cNvSpPr>
      </xdr:nvSpPr>
      <xdr:spPr>
        <a:xfrm>
          <a:off x="0" y="11715750"/>
          <a:ext cx="142017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40"/>
        <xdr:cNvSpPr>
          <a:spLocks/>
        </xdr:cNvSpPr>
      </xdr:nvSpPr>
      <xdr:spPr>
        <a:xfrm>
          <a:off x="0" y="1371600"/>
          <a:ext cx="1657350" cy="1047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60"/>
        <xdr:cNvSpPr>
          <a:spLocks/>
        </xdr:cNvSpPr>
      </xdr:nvSpPr>
      <xdr:spPr>
        <a:xfrm>
          <a:off x="1657350" y="161925"/>
          <a:ext cx="12544425"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63"/>
        <xdr:cNvSpPr>
          <a:spLocks/>
        </xdr:cNvSpPr>
      </xdr:nvSpPr>
      <xdr:spPr>
        <a:xfrm>
          <a:off x="1657350" y="161925"/>
          <a:ext cx="12544425"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133350</xdr:colOff>
      <xdr:row>12</xdr:row>
      <xdr:rowOff>38100</xdr:rowOff>
    </xdr:from>
    <xdr:ext cx="2571750" cy="419100"/>
    <xdr:sp>
      <xdr:nvSpPr>
        <xdr:cNvPr id="1" name="TextBox 24"/>
        <xdr:cNvSpPr txBox="1">
          <a:spLocks noChangeArrowheads="1"/>
        </xdr:cNvSpPr>
      </xdr:nvSpPr>
      <xdr:spPr>
        <a:xfrm>
          <a:off x="2028825" y="5924550"/>
          <a:ext cx="257175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8</xdr:row>
      <xdr:rowOff>0</xdr:rowOff>
    </xdr:from>
    <xdr:to>
      <xdr:col>4</xdr:col>
      <xdr:colOff>0</xdr:colOff>
      <xdr:row>14</xdr:row>
      <xdr:rowOff>0</xdr:rowOff>
    </xdr:to>
    <xdr:sp>
      <xdr:nvSpPr>
        <xdr:cNvPr id="2" name="Rectangle 34"/>
        <xdr:cNvSpPr>
          <a:spLocks/>
        </xdr:cNvSpPr>
      </xdr:nvSpPr>
      <xdr:spPr>
        <a:xfrm>
          <a:off x="180975" y="2743200"/>
          <a:ext cx="11163300" cy="5086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4</xdr:col>
      <xdr:colOff>0</xdr:colOff>
      <xdr:row>7</xdr:row>
      <xdr:rowOff>0</xdr:rowOff>
    </xdr:to>
    <xdr:sp>
      <xdr:nvSpPr>
        <xdr:cNvPr id="3" name="Rectangle 36"/>
        <xdr:cNvSpPr>
          <a:spLocks/>
        </xdr:cNvSpPr>
      </xdr:nvSpPr>
      <xdr:spPr>
        <a:xfrm>
          <a:off x="180975" y="866775"/>
          <a:ext cx="11163300" cy="1714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xdr:row>
      <xdr:rowOff>0</xdr:rowOff>
    </xdr:from>
    <xdr:to>
      <xdr:col>4</xdr:col>
      <xdr:colOff>0</xdr:colOff>
      <xdr:row>21</xdr:row>
      <xdr:rowOff>0</xdr:rowOff>
    </xdr:to>
    <xdr:sp>
      <xdr:nvSpPr>
        <xdr:cNvPr id="4" name="Rectangle 38"/>
        <xdr:cNvSpPr>
          <a:spLocks/>
        </xdr:cNvSpPr>
      </xdr:nvSpPr>
      <xdr:spPr>
        <a:xfrm>
          <a:off x="180975" y="7991475"/>
          <a:ext cx="11163300" cy="3276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4</xdr:col>
      <xdr:colOff>0</xdr:colOff>
      <xdr:row>2</xdr:row>
      <xdr:rowOff>0</xdr:rowOff>
    </xdr:to>
    <xdr:sp>
      <xdr:nvSpPr>
        <xdr:cNvPr id="5" name="Rectangle 39"/>
        <xdr:cNvSpPr>
          <a:spLocks/>
        </xdr:cNvSpPr>
      </xdr:nvSpPr>
      <xdr:spPr>
        <a:xfrm>
          <a:off x="180975" y="0"/>
          <a:ext cx="11163300" cy="762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0</xdr:rowOff>
    </xdr:from>
    <xdr:to>
      <xdr:col>5</xdr:col>
      <xdr:colOff>9525</xdr:colOff>
      <xdr:row>40</xdr:row>
      <xdr:rowOff>28575</xdr:rowOff>
    </xdr:to>
    <xdr:graphicFrame>
      <xdr:nvGraphicFramePr>
        <xdr:cNvPr id="1" name="Chart 4"/>
        <xdr:cNvGraphicFramePr/>
      </xdr:nvGraphicFramePr>
      <xdr:xfrm>
        <a:off x="619125" y="4010025"/>
        <a:ext cx="4781550" cy="37528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5</xdr:col>
      <xdr:colOff>0</xdr:colOff>
      <xdr:row>15</xdr:row>
      <xdr:rowOff>0</xdr:rowOff>
    </xdr:to>
    <xdr:sp>
      <xdr:nvSpPr>
        <xdr:cNvPr id="2" name="Rectangle 6"/>
        <xdr:cNvSpPr>
          <a:spLocks/>
        </xdr:cNvSpPr>
      </xdr:nvSpPr>
      <xdr:spPr>
        <a:xfrm>
          <a:off x="609600" y="1085850"/>
          <a:ext cx="4781550" cy="2600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4</xdr:row>
      <xdr:rowOff>9525</xdr:rowOff>
    </xdr:from>
    <xdr:to>
      <xdr:col>12</xdr:col>
      <xdr:colOff>9525</xdr:colOff>
      <xdr:row>7</xdr:row>
      <xdr:rowOff>66675</xdr:rowOff>
    </xdr:to>
    <xdr:sp>
      <xdr:nvSpPr>
        <xdr:cNvPr id="3" name="TextBox 7"/>
        <xdr:cNvSpPr txBox="1">
          <a:spLocks noChangeArrowheads="1"/>
        </xdr:cNvSpPr>
      </xdr:nvSpPr>
      <xdr:spPr>
        <a:xfrm>
          <a:off x="5524500" y="1095375"/>
          <a:ext cx="4562475"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The Weighted Maturity Ratio </a:t>
          </a:r>
          <a:r>
            <a:rPr lang="en-US" cap="none" sz="1000" b="0" i="0" u="none" baseline="0">
              <a:latin typeface="Arial"/>
              <a:ea typeface="Arial"/>
              <a:cs typeface="Arial"/>
            </a:rPr>
            <a:t>can highlight areas where greater priority should be placed. If a category is relatively immature or carries a relatively high weight, it will rate a stronger candidate for resourcing.
This data is then carried over to the "6.2 Prioritized Infrastructure Category" tool, where it is added into Table A on the </a:t>
          </a:r>
          <a:r>
            <a:rPr lang="en-US" cap="none" sz="1000" b="0" i="1" u="none" baseline="0">
              <a:latin typeface="Arial"/>
              <a:ea typeface="Arial"/>
              <a:cs typeface="Arial"/>
            </a:rPr>
            <a:t>By Infrastructure Category</a:t>
          </a:r>
          <a:r>
            <a:rPr lang="en-US" cap="none" sz="1000" b="0" i="0" u="none" baseline="0">
              <a:latin typeface="Arial"/>
              <a:ea typeface="Arial"/>
              <a:cs typeface="Arial"/>
            </a:rPr>
            <a:t> tab.</a:t>
          </a:r>
        </a:p>
      </xdr:txBody>
    </xdr:sp>
    <xdr:clientData/>
  </xdr:twoCellAnchor>
  <xdr:twoCellAnchor>
    <xdr:from>
      <xdr:col>5</xdr:col>
      <xdr:colOff>152400</xdr:colOff>
      <xdr:row>17</xdr:row>
      <xdr:rowOff>0</xdr:rowOff>
    </xdr:from>
    <xdr:to>
      <xdr:col>12</xdr:col>
      <xdr:colOff>38100</xdr:colOff>
      <xdr:row>40</xdr:row>
      <xdr:rowOff>28575</xdr:rowOff>
    </xdr:to>
    <xdr:graphicFrame>
      <xdr:nvGraphicFramePr>
        <xdr:cNvPr id="4" name="Chart 8"/>
        <xdr:cNvGraphicFramePr/>
      </xdr:nvGraphicFramePr>
      <xdr:xfrm>
        <a:off x="5543550" y="4010025"/>
        <a:ext cx="4572000" cy="37528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13</xdr:col>
      <xdr:colOff>0</xdr:colOff>
      <xdr:row>2</xdr:row>
      <xdr:rowOff>0</xdr:rowOff>
    </xdr:to>
    <xdr:sp>
      <xdr:nvSpPr>
        <xdr:cNvPr id="5" name="Rectangle 9"/>
        <xdr:cNvSpPr>
          <a:spLocks/>
        </xdr:cNvSpPr>
      </xdr:nvSpPr>
      <xdr:spPr>
        <a:xfrm>
          <a:off x="609600" y="0"/>
          <a:ext cx="10077450" cy="762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8</xdr:col>
      <xdr:colOff>0</xdr:colOff>
      <xdr:row>24</xdr:row>
      <xdr:rowOff>0</xdr:rowOff>
    </xdr:to>
    <xdr:sp>
      <xdr:nvSpPr>
        <xdr:cNvPr id="1" name="Rectangle 3"/>
        <xdr:cNvSpPr>
          <a:spLocks/>
        </xdr:cNvSpPr>
      </xdr:nvSpPr>
      <xdr:spPr>
        <a:xfrm>
          <a:off x="180975" y="3095625"/>
          <a:ext cx="6753225" cy="2857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10</xdr:row>
      <xdr:rowOff>9525</xdr:rowOff>
    </xdr:from>
    <xdr:to>
      <xdr:col>3</xdr:col>
      <xdr:colOff>257175</xdr:colOff>
      <xdr:row>10</xdr:row>
      <xdr:rowOff>171450</xdr:rowOff>
    </xdr:to>
    <xdr:sp>
      <xdr:nvSpPr>
        <xdr:cNvPr id="2" name="Line 5"/>
        <xdr:cNvSpPr>
          <a:spLocks/>
        </xdr:cNvSpPr>
      </xdr:nvSpPr>
      <xdr:spPr>
        <a:xfrm>
          <a:off x="2590800" y="3619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8</xdr:col>
      <xdr:colOff>0</xdr:colOff>
      <xdr:row>3</xdr:row>
      <xdr:rowOff>0</xdr:rowOff>
    </xdr:to>
    <xdr:sp>
      <xdr:nvSpPr>
        <xdr:cNvPr id="3" name="Rectangle 7"/>
        <xdr:cNvSpPr>
          <a:spLocks/>
        </xdr:cNvSpPr>
      </xdr:nvSpPr>
      <xdr:spPr>
        <a:xfrm>
          <a:off x="180975" y="161925"/>
          <a:ext cx="6753225" cy="857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8</xdr:col>
      <xdr:colOff>0</xdr:colOff>
      <xdr:row>6</xdr:row>
      <xdr:rowOff>0</xdr:rowOff>
    </xdr:to>
    <xdr:sp>
      <xdr:nvSpPr>
        <xdr:cNvPr id="4" name="Rectangle 8"/>
        <xdr:cNvSpPr>
          <a:spLocks/>
        </xdr:cNvSpPr>
      </xdr:nvSpPr>
      <xdr:spPr>
        <a:xfrm>
          <a:off x="180975" y="1152525"/>
          <a:ext cx="6753225" cy="1828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24</xdr:row>
      <xdr:rowOff>0</xdr:rowOff>
    </xdr:to>
    <xdr:sp>
      <xdr:nvSpPr>
        <xdr:cNvPr id="3" name="Rectangle 3"/>
        <xdr:cNvSpPr>
          <a:spLocks/>
        </xdr:cNvSpPr>
      </xdr:nvSpPr>
      <xdr:spPr>
        <a:xfrm>
          <a:off x="0" y="7162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0</xdr:rowOff>
    </xdr:from>
    <xdr:to>
      <xdr:col>5</xdr:col>
      <xdr:colOff>0</xdr:colOff>
      <xdr:row>35</xdr:row>
      <xdr:rowOff>0</xdr:rowOff>
    </xdr:to>
    <xdr:sp>
      <xdr:nvSpPr>
        <xdr:cNvPr id="4" name="Rectangle 4"/>
        <xdr:cNvSpPr>
          <a:spLocks/>
        </xdr:cNvSpPr>
      </xdr:nvSpPr>
      <xdr:spPr>
        <a:xfrm>
          <a:off x="0" y="1117282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3"/>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0</xdr:rowOff>
    </xdr:from>
    <xdr:to>
      <xdr:col>5</xdr:col>
      <xdr:colOff>0</xdr:colOff>
      <xdr:row>26</xdr:row>
      <xdr:rowOff>0</xdr:rowOff>
    </xdr:to>
    <xdr:sp>
      <xdr:nvSpPr>
        <xdr:cNvPr id="3" name="Rectangle 3"/>
        <xdr:cNvSpPr>
          <a:spLocks/>
        </xdr:cNvSpPr>
      </xdr:nvSpPr>
      <xdr:spPr>
        <a:xfrm>
          <a:off x="0" y="7924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0</xdr:rowOff>
    </xdr:from>
    <xdr:to>
      <xdr:col>5</xdr:col>
      <xdr:colOff>0</xdr:colOff>
      <xdr:row>43</xdr:row>
      <xdr:rowOff>0</xdr:rowOff>
    </xdr:to>
    <xdr:sp>
      <xdr:nvSpPr>
        <xdr:cNvPr id="4" name="Rectangle 4"/>
        <xdr:cNvSpPr>
          <a:spLocks/>
        </xdr:cNvSpPr>
      </xdr:nvSpPr>
      <xdr:spPr>
        <a:xfrm>
          <a:off x="0" y="1358265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9"/>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49"/>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52"/>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24</xdr:row>
      <xdr:rowOff>0</xdr:rowOff>
    </xdr:from>
    <xdr:to>
      <xdr:col>5</xdr:col>
      <xdr:colOff>0</xdr:colOff>
      <xdr:row>25</xdr:row>
      <xdr:rowOff>0</xdr:rowOff>
    </xdr:to>
    <xdr:sp>
      <xdr:nvSpPr>
        <xdr:cNvPr id="3" name="Rectangle 3"/>
        <xdr:cNvSpPr>
          <a:spLocks/>
        </xdr:cNvSpPr>
      </xdr:nvSpPr>
      <xdr:spPr>
        <a:xfrm>
          <a:off x="0" y="7543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5</xdr:col>
      <xdr:colOff>0</xdr:colOff>
      <xdr:row>36</xdr:row>
      <xdr:rowOff>0</xdr:rowOff>
    </xdr:to>
    <xdr:sp>
      <xdr:nvSpPr>
        <xdr:cNvPr id="4" name="Rectangle 4"/>
        <xdr:cNvSpPr>
          <a:spLocks/>
        </xdr:cNvSpPr>
      </xdr:nvSpPr>
      <xdr:spPr>
        <a:xfrm>
          <a:off x="0" y="1155382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5"/>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39"/>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40"/>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5</xdr:col>
      <xdr:colOff>0</xdr:colOff>
      <xdr:row>23</xdr:row>
      <xdr:rowOff>0</xdr:rowOff>
    </xdr:to>
    <xdr:sp>
      <xdr:nvSpPr>
        <xdr:cNvPr id="3" name="Rectangle 3"/>
        <xdr:cNvSpPr>
          <a:spLocks/>
        </xdr:cNvSpPr>
      </xdr:nvSpPr>
      <xdr:spPr>
        <a:xfrm>
          <a:off x="0" y="678180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0</xdr:rowOff>
    </xdr:from>
    <xdr:to>
      <xdr:col>5</xdr:col>
      <xdr:colOff>0</xdr:colOff>
      <xdr:row>36</xdr:row>
      <xdr:rowOff>0</xdr:rowOff>
    </xdr:to>
    <xdr:sp>
      <xdr:nvSpPr>
        <xdr:cNvPr id="4" name="Rectangle 4"/>
        <xdr:cNvSpPr>
          <a:spLocks/>
        </xdr:cNvSpPr>
      </xdr:nvSpPr>
      <xdr:spPr>
        <a:xfrm>
          <a:off x="0" y="115347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0"/>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33"/>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36"/>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4317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24</xdr:row>
      <xdr:rowOff>0</xdr:rowOff>
    </xdr:to>
    <xdr:sp>
      <xdr:nvSpPr>
        <xdr:cNvPr id="3" name="Rectangle 3"/>
        <xdr:cNvSpPr>
          <a:spLocks/>
        </xdr:cNvSpPr>
      </xdr:nvSpPr>
      <xdr:spPr>
        <a:xfrm>
          <a:off x="0" y="7181850"/>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37</xdr:row>
      <xdr:rowOff>0</xdr:rowOff>
    </xdr:from>
    <xdr:to>
      <xdr:col>5</xdr:col>
      <xdr:colOff>0</xdr:colOff>
      <xdr:row>38</xdr:row>
      <xdr:rowOff>0</xdr:rowOff>
    </xdr:to>
    <xdr:sp>
      <xdr:nvSpPr>
        <xdr:cNvPr id="4" name="Rectangle 4"/>
        <xdr:cNvSpPr>
          <a:spLocks/>
        </xdr:cNvSpPr>
      </xdr:nvSpPr>
      <xdr:spPr>
        <a:xfrm>
          <a:off x="0" y="1172527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21"/>
        <xdr:cNvSpPr>
          <a:spLocks/>
        </xdr:cNvSpPr>
      </xdr:nvSpPr>
      <xdr:spPr>
        <a:xfrm>
          <a:off x="0" y="1371600"/>
          <a:ext cx="1657350" cy="1057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4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44"/>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23</xdr:row>
      <xdr:rowOff>0</xdr:rowOff>
    </xdr:to>
    <xdr:sp>
      <xdr:nvSpPr>
        <xdr:cNvPr id="3" name="Rectangle 3"/>
        <xdr:cNvSpPr>
          <a:spLocks/>
        </xdr:cNvSpPr>
      </xdr:nvSpPr>
      <xdr:spPr>
        <a:xfrm>
          <a:off x="0" y="7381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23</xdr:row>
      <xdr:rowOff>0</xdr:rowOff>
    </xdr:from>
    <xdr:to>
      <xdr:col>5</xdr:col>
      <xdr:colOff>0</xdr:colOff>
      <xdr:row>23</xdr:row>
      <xdr:rowOff>0</xdr:rowOff>
    </xdr:to>
    <xdr:sp>
      <xdr:nvSpPr>
        <xdr:cNvPr id="4" name="Rectangle 4"/>
        <xdr:cNvSpPr>
          <a:spLocks/>
        </xdr:cNvSpPr>
      </xdr:nvSpPr>
      <xdr:spPr>
        <a:xfrm>
          <a:off x="0" y="7381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4"/>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24"/>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26"/>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0</xdr:colOff>
      <xdr:row>4</xdr:row>
      <xdr:rowOff>0</xdr:rowOff>
    </xdr:to>
    <xdr:sp>
      <xdr:nvSpPr>
        <xdr:cNvPr id="1" name="Rectangle 1"/>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0</xdr:rowOff>
    </xdr:from>
    <xdr:to>
      <xdr:col>5</xdr:col>
      <xdr:colOff>0</xdr:colOff>
      <xdr:row>10</xdr:row>
      <xdr:rowOff>0</xdr:rowOff>
    </xdr:to>
    <xdr:sp>
      <xdr:nvSpPr>
        <xdr:cNvPr id="2" name="Rectangle 2"/>
        <xdr:cNvSpPr>
          <a:spLocks/>
        </xdr:cNvSpPr>
      </xdr:nvSpPr>
      <xdr:spPr>
        <a:xfrm>
          <a:off x="0" y="2524125"/>
          <a:ext cx="14211300"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21</xdr:row>
      <xdr:rowOff>0</xdr:rowOff>
    </xdr:from>
    <xdr:to>
      <xdr:col>5</xdr:col>
      <xdr:colOff>0</xdr:colOff>
      <xdr:row>21</xdr:row>
      <xdr:rowOff>0</xdr:rowOff>
    </xdr:to>
    <xdr:sp>
      <xdr:nvSpPr>
        <xdr:cNvPr id="3" name="Rectangle 3"/>
        <xdr:cNvSpPr>
          <a:spLocks/>
        </xdr:cNvSpPr>
      </xdr:nvSpPr>
      <xdr:spPr>
        <a:xfrm>
          <a:off x="0" y="6619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21</xdr:row>
      <xdr:rowOff>0</xdr:rowOff>
    </xdr:from>
    <xdr:to>
      <xdr:col>5</xdr:col>
      <xdr:colOff>0</xdr:colOff>
      <xdr:row>21</xdr:row>
      <xdr:rowOff>0</xdr:rowOff>
    </xdr:to>
    <xdr:sp>
      <xdr:nvSpPr>
        <xdr:cNvPr id="4" name="Rectangle 4"/>
        <xdr:cNvSpPr>
          <a:spLocks/>
        </xdr:cNvSpPr>
      </xdr:nvSpPr>
      <xdr:spPr>
        <a:xfrm>
          <a:off x="0" y="6619875"/>
          <a:ext cx="14211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2</xdr:col>
      <xdr:colOff>0</xdr:colOff>
      <xdr:row>8</xdr:row>
      <xdr:rowOff>0</xdr:rowOff>
    </xdr:to>
    <xdr:sp>
      <xdr:nvSpPr>
        <xdr:cNvPr id="5" name="Rectangle 17"/>
        <xdr:cNvSpPr>
          <a:spLocks/>
        </xdr:cNvSpPr>
      </xdr:nvSpPr>
      <xdr:spPr>
        <a:xfrm>
          <a:off x="0" y="1371600"/>
          <a:ext cx="1657350" cy="103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6" name="Rectangle 25"/>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5</xdr:col>
      <xdr:colOff>0</xdr:colOff>
      <xdr:row>4</xdr:row>
      <xdr:rowOff>0</xdr:rowOff>
    </xdr:to>
    <xdr:sp>
      <xdr:nvSpPr>
        <xdr:cNvPr id="7" name="Rectangle 28"/>
        <xdr:cNvSpPr>
          <a:spLocks/>
        </xdr:cNvSpPr>
      </xdr:nvSpPr>
      <xdr:spPr>
        <a:xfrm>
          <a:off x="1657350" y="161925"/>
          <a:ext cx="12553950" cy="1095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31"/>
  <sheetViews>
    <sheetView tabSelected="1" workbookViewId="0" topLeftCell="A1">
      <selection activeCell="B1" sqref="B1"/>
    </sheetView>
  </sheetViews>
  <sheetFormatPr defaultColWidth="9.140625" defaultRowHeight="12.75"/>
  <cols>
    <col min="1" max="1" width="2.7109375" style="0" customWidth="1"/>
    <col min="2" max="2" width="101.8515625" style="0" customWidth="1"/>
    <col min="4" max="4" width="0" style="0" hidden="1" customWidth="1"/>
  </cols>
  <sheetData>
    <row r="2" ht="33.75" customHeight="1">
      <c r="B2" s="5" t="s">
        <v>99</v>
      </c>
    </row>
    <row r="3" ht="25.5" customHeight="1">
      <c r="B3" s="52" t="s">
        <v>287</v>
      </c>
    </row>
    <row r="5" ht="18">
      <c r="B5" s="11" t="s">
        <v>28</v>
      </c>
    </row>
    <row r="7" ht="28.5" customHeight="1">
      <c r="B7" s="50" t="s">
        <v>66</v>
      </c>
    </row>
    <row r="8" ht="54" customHeight="1">
      <c r="B8" s="50" t="s">
        <v>488</v>
      </c>
    </row>
    <row r="9" ht="28.5" customHeight="1">
      <c r="B9" s="50" t="s">
        <v>67</v>
      </c>
    </row>
    <row r="10" ht="28.5" customHeight="1">
      <c r="B10" s="50" t="s">
        <v>68</v>
      </c>
    </row>
    <row r="11" ht="54" customHeight="1">
      <c r="B11" s="50" t="s">
        <v>489</v>
      </c>
    </row>
    <row r="12" ht="25.5">
      <c r="B12" s="59" t="s">
        <v>479</v>
      </c>
    </row>
    <row r="13" ht="12.75">
      <c r="B13" s="51"/>
    </row>
    <row r="16" ht="12.75">
      <c r="B16" t="s">
        <v>157</v>
      </c>
    </row>
    <row r="21" ht="12.75">
      <c r="C21" s="16"/>
    </row>
    <row r="22" ht="12.75">
      <c r="C22" s="16"/>
    </row>
    <row r="23" ht="12.75">
      <c r="C23" s="16"/>
    </row>
    <row r="24" ht="12.75">
      <c r="C24" s="16"/>
    </row>
    <row r="25" ht="12.75">
      <c r="C25" s="16"/>
    </row>
    <row r="26" ht="12.75">
      <c r="C26" s="16"/>
    </row>
    <row r="27" ht="12.75">
      <c r="C27" s="16"/>
    </row>
    <row r="28" ht="12.75">
      <c r="C28" s="16"/>
    </row>
    <row r="29" ht="12.75">
      <c r="C29" s="16"/>
    </row>
    <row r="30" ht="12.75">
      <c r="C30" s="16"/>
    </row>
    <row r="31" spans="3:4" ht="12.75">
      <c r="C31" s="13"/>
      <c r="D31">
        <f>IF(C31&gt;100%,0,1)</f>
        <v>1</v>
      </c>
    </row>
  </sheetData>
  <dataValidations count="3">
    <dataValidation type="whole" operator="lessThanOrEqual" allowBlank="1" showInputMessage="1" showErrorMessage="1" errorTitle="Error" error="Total Weight Should Not Exceed 100%." sqref="C31">
      <formula1>1</formula1>
    </dataValidation>
    <dataValidation type="custom" allowBlank="1" showInputMessage="1" showErrorMessage="1" errorTitle="Error" error="Total Weight Cannot Exceed 100%." sqref="D31">
      <formula1>D31=0</formula1>
    </dataValidation>
    <dataValidation type="custom" allowBlank="1" showInputMessage="1" showErrorMessage="1" errorTitle="What's Going on?" sqref="C21:C30">
      <formula1>$D$31=1</formula1>
    </dataValidation>
  </dataValidations>
  <printOptions/>
  <pageMargins left="0.75" right="0.75" top="1" bottom="1"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F37"/>
  <sheetViews>
    <sheetView zoomScale="80" zoomScaleNormal="80" workbookViewId="0" topLeftCell="A1">
      <pane xSplit="2" ySplit="8" topLeftCell="C9" activePane="bottomRight" state="frozen"/>
      <selection pane="topLeft" activeCell="K8" sqref="K8"/>
      <selection pane="topRight" activeCell="K8" sqref="K8"/>
      <selection pane="bottomLeft" activeCell="K8" sqref="K8"/>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0" style="0" hidden="1" customWidth="1"/>
  </cols>
  <sheetData>
    <row r="2" spans="3:5" ht="33.75" customHeight="1">
      <c r="C2" s="70" t="s">
        <v>463</v>
      </c>
      <c r="D2" s="70"/>
      <c r="E2" s="70"/>
    </row>
    <row r="3" spans="3:5" ht="26.25" customHeight="1">
      <c r="C3" s="77" t="s">
        <v>288</v>
      </c>
      <c r="D3" s="77"/>
      <c r="E3" s="77"/>
    </row>
    <row r="4" spans="3:5" ht="26.25">
      <c r="C4" s="78" t="s">
        <v>180</v>
      </c>
      <c r="D4" s="78"/>
      <c r="E4" s="78"/>
    </row>
    <row r="5" ht="9" customHeight="1"/>
    <row r="6" spans="1:2" ht="12.75">
      <c r="A6" s="28" t="s">
        <v>212</v>
      </c>
      <c r="B6" s="29"/>
    </row>
    <row r="7" spans="1:2" ht="41.25" customHeight="1">
      <c r="A7" s="30" t="s">
        <v>211</v>
      </c>
      <c r="B7" s="32" t="e">
        <f>AVERAGE(B13:B20,B26:B36)</f>
        <v>#DIV/0!</v>
      </c>
    </row>
    <row r="8" spans="1:2" ht="27.75" customHeight="1">
      <c r="A8" s="30" t="s">
        <v>209</v>
      </c>
      <c r="B8" s="31">
        <f>Weightings!D19</f>
        <v>0</v>
      </c>
    </row>
    <row r="9" ht="9" customHeight="1"/>
    <row r="10" spans="1:5" ht="23.25">
      <c r="A10" s="74" t="s">
        <v>174</v>
      </c>
      <c r="B10" s="74"/>
      <c r="C10" s="74"/>
      <c r="D10" s="74"/>
      <c r="E10" s="74"/>
    </row>
    <row r="11" ht="14.25">
      <c r="A11" s="6" t="s">
        <v>497</v>
      </c>
    </row>
    <row r="12" spans="1:5" ht="15">
      <c r="A12" s="8" t="s">
        <v>465</v>
      </c>
      <c r="B12" s="9" t="s">
        <v>466</v>
      </c>
      <c r="C12" s="8" t="s">
        <v>467</v>
      </c>
      <c r="D12" s="8" t="s">
        <v>468</v>
      </c>
      <c r="E12" s="10" t="s">
        <v>469</v>
      </c>
    </row>
    <row r="13" spans="1:6" ht="30" customHeight="1">
      <c r="A13" s="1">
        <v>15.1</v>
      </c>
      <c r="B13" s="35">
        <f aca="true" t="shared" si="0" ref="B13:B19">IF(D13="No",0,IF(D13="Planning To",2,IF(D13="Yes",4,"")))</f>
      </c>
      <c r="C13" s="2" t="s">
        <v>404</v>
      </c>
      <c r="D13" s="33"/>
      <c r="E13" s="3">
        <f>IF(D13="No",F13,"")</f>
      </c>
      <c r="F13" t="s">
        <v>251</v>
      </c>
    </row>
    <row r="14" spans="1:6" ht="30" customHeight="1">
      <c r="A14" s="1">
        <v>15.2</v>
      </c>
      <c r="B14" s="35">
        <f t="shared" si="0"/>
      </c>
      <c r="C14" s="2" t="s">
        <v>405</v>
      </c>
      <c r="D14" s="33"/>
      <c r="E14" s="3">
        <f aca="true" t="shared" si="1" ref="E14:E19">IF(D14="No",F14,"")</f>
      </c>
      <c r="F14" t="s">
        <v>260</v>
      </c>
    </row>
    <row r="15" spans="1:6" ht="30" customHeight="1">
      <c r="A15" s="1">
        <v>15.3</v>
      </c>
      <c r="B15" s="35">
        <f t="shared" si="0"/>
      </c>
      <c r="C15" s="2" t="s">
        <v>252</v>
      </c>
      <c r="D15" s="33"/>
      <c r="E15" s="3">
        <f t="shared" si="1"/>
      </c>
      <c r="F15" t="s">
        <v>253</v>
      </c>
    </row>
    <row r="16" spans="1:6" ht="30" customHeight="1">
      <c r="A16" s="1">
        <v>15.4</v>
      </c>
      <c r="B16" s="35">
        <f t="shared" si="0"/>
      </c>
      <c r="C16" s="2" t="s">
        <v>406</v>
      </c>
      <c r="D16" s="33"/>
      <c r="E16" s="3">
        <f t="shared" si="1"/>
      </c>
      <c r="F16" t="s">
        <v>254</v>
      </c>
    </row>
    <row r="17" spans="1:6" ht="30" customHeight="1">
      <c r="A17" s="1">
        <v>15.5</v>
      </c>
      <c r="B17" s="35">
        <f t="shared" si="0"/>
      </c>
      <c r="C17" s="2" t="s">
        <v>407</v>
      </c>
      <c r="D17" s="33"/>
      <c r="E17" s="3">
        <f t="shared" si="1"/>
      </c>
      <c r="F17" t="s">
        <v>255</v>
      </c>
    </row>
    <row r="18" spans="1:6" ht="30" customHeight="1">
      <c r="A18" s="1">
        <v>15.6</v>
      </c>
      <c r="B18" s="35">
        <f t="shared" si="0"/>
      </c>
      <c r="C18" s="2" t="s">
        <v>409</v>
      </c>
      <c r="D18" s="33"/>
      <c r="E18" s="3">
        <f t="shared" si="1"/>
      </c>
      <c r="F18" t="s">
        <v>256</v>
      </c>
    </row>
    <row r="19" spans="1:6" ht="30" customHeight="1">
      <c r="A19" s="1">
        <v>15.7</v>
      </c>
      <c r="B19" s="35">
        <f t="shared" si="0"/>
      </c>
      <c r="C19" s="2" t="s">
        <v>410</v>
      </c>
      <c r="D19" s="33"/>
      <c r="E19" s="3">
        <f t="shared" si="1"/>
      </c>
      <c r="F19" t="s">
        <v>257</v>
      </c>
    </row>
    <row r="20" spans="1:6" ht="30" customHeight="1">
      <c r="A20" s="53">
        <v>15.8</v>
      </c>
      <c r="B20" s="54">
        <f>IF(D20="Non-existent",0,IF(D20="Non-existent but plan to implement",1,IF(D20="Ad hoc",2,IF(D20="Implementing more formalized process",3,IF(D20="Formalized process now in place",4,"")))))</f>
      </c>
      <c r="C20" s="2" t="s">
        <v>411</v>
      </c>
      <c r="D20" s="33"/>
      <c r="E20" s="3">
        <f>IF(D20="Non-existent",F20,"")</f>
      </c>
      <c r="F20" t="s">
        <v>258</v>
      </c>
    </row>
    <row r="21" spans="1:5" ht="30">
      <c r="A21" s="55" t="s">
        <v>210</v>
      </c>
      <c r="B21" s="56" t="e">
        <f>AVERAGE(B13:B20)</f>
        <v>#DIV/0!</v>
      </c>
      <c r="C21" s="75"/>
      <c r="D21" s="76"/>
      <c r="E21" s="76"/>
    </row>
    <row r="23" spans="1:5" ht="23.25">
      <c r="A23" s="74" t="s">
        <v>439</v>
      </c>
      <c r="B23" s="74"/>
      <c r="C23" s="74"/>
      <c r="D23" s="74"/>
      <c r="E23" s="74"/>
    </row>
    <row r="24" ht="14.25">
      <c r="A24" s="6" t="s">
        <v>49</v>
      </c>
    </row>
    <row r="25" spans="1:5" ht="14.25" customHeight="1">
      <c r="A25" s="8" t="s">
        <v>465</v>
      </c>
      <c r="B25" s="9" t="s">
        <v>466</v>
      </c>
      <c r="C25" s="8" t="s">
        <v>467</v>
      </c>
      <c r="D25" s="8" t="s">
        <v>468</v>
      </c>
      <c r="E25" s="10" t="s">
        <v>469</v>
      </c>
    </row>
    <row r="26" spans="1:6" ht="29.25" customHeight="1">
      <c r="A26" s="1">
        <v>16.1</v>
      </c>
      <c r="B26" s="35">
        <f aca="true" t="shared" si="2" ref="B26:B36">IF(D26="No",0,IF(D26="Planning To",2,IF(D26="Yes",4,"")))</f>
      </c>
      <c r="C26" s="3" t="s">
        <v>412</v>
      </c>
      <c r="D26" s="33"/>
      <c r="E26" s="3">
        <f aca="true" t="shared" si="3" ref="E26:E36">IF(D26="No",F26,"")</f>
      </c>
      <c r="F26" t="s">
        <v>259</v>
      </c>
    </row>
    <row r="27" spans="1:6" ht="29.25" customHeight="1">
      <c r="A27" s="1">
        <v>16.2</v>
      </c>
      <c r="B27" s="35">
        <f t="shared" si="2"/>
      </c>
      <c r="C27" s="3" t="s">
        <v>413</v>
      </c>
      <c r="D27" s="33"/>
      <c r="E27" s="3">
        <f t="shared" si="3"/>
      </c>
      <c r="F27" t="s">
        <v>260</v>
      </c>
    </row>
    <row r="28" spans="1:6" ht="29.25" customHeight="1">
      <c r="A28" s="1">
        <v>16.3</v>
      </c>
      <c r="B28" s="35">
        <f t="shared" si="2"/>
      </c>
      <c r="C28" s="3" t="s">
        <v>414</v>
      </c>
      <c r="D28" s="33"/>
      <c r="E28" s="3">
        <f t="shared" si="3"/>
      </c>
      <c r="F28" t="s">
        <v>253</v>
      </c>
    </row>
    <row r="29" spans="1:6" ht="29.25" customHeight="1">
      <c r="A29" s="1">
        <v>16.4</v>
      </c>
      <c r="B29" s="35">
        <f t="shared" si="2"/>
      </c>
      <c r="C29" s="3" t="s">
        <v>415</v>
      </c>
      <c r="D29" s="33"/>
      <c r="E29" s="3">
        <f t="shared" si="3"/>
      </c>
      <c r="F29" t="s">
        <v>261</v>
      </c>
    </row>
    <row r="30" spans="1:6" ht="29.25" customHeight="1">
      <c r="A30" s="1">
        <v>16.5</v>
      </c>
      <c r="B30" s="35">
        <f t="shared" si="2"/>
      </c>
      <c r="C30" s="3" t="s">
        <v>416</v>
      </c>
      <c r="D30" s="33"/>
      <c r="E30" s="3">
        <f t="shared" si="3"/>
      </c>
      <c r="F30" t="s">
        <v>262</v>
      </c>
    </row>
    <row r="31" spans="1:6" ht="29.25" customHeight="1">
      <c r="A31" s="1">
        <v>16.6</v>
      </c>
      <c r="B31" s="35">
        <f t="shared" si="2"/>
      </c>
      <c r="C31" s="3" t="s">
        <v>417</v>
      </c>
      <c r="D31" s="33"/>
      <c r="E31" s="3">
        <f>IF(D31="No",F32,"")</f>
      </c>
      <c r="F31" t="s">
        <v>264</v>
      </c>
    </row>
    <row r="32" spans="1:6" ht="29.25" customHeight="1">
      <c r="A32" s="1">
        <v>16.7</v>
      </c>
      <c r="B32" s="35">
        <f t="shared" si="2"/>
      </c>
      <c r="C32" s="3" t="s">
        <v>418</v>
      </c>
      <c r="D32" s="33"/>
      <c r="E32" s="3">
        <f>IF(D32="No",F33,"")</f>
      </c>
      <c r="F32" t="s">
        <v>263</v>
      </c>
    </row>
    <row r="33" spans="1:6" ht="29.25" customHeight="1">
      <c r="A33" s="1">
        <v>16.8</v>
      </c>
      <c r="B33" s="35">
        <f t="shared" si="2"/>
      </c>
      <c r="C33" s="3" t="s">
        <v>419</v>
      </c>
      <c r="D33" s="33"/>
      <c r="E33" s="3">
        <f>IF(D33="No",F35,"")</f>
      </c>
      <c r="F33" t="s">
        <v>265</v>
      </c>
    </row>
    <row r="34" spans="1:6" ht="29.25" customHeight="1">
      <c r="A34" s="1">
        <v>16.9</v>
      </c>
      <c r="B34" s="35">
        <f>IF(D34="However they want",0,IF(D34="Free-form e-mail or voicemail",2,IF(D34="Online form",4,"")))</f>
      </c>
      <c r="C34" s="3" t="s">
        <v>420</v>
      </c>
      <c r="D34" s="33"/>
      <c r="E34" s="3">
        <f>IF(D34="However they want",F34,"")</f>
      </c>
      <c r="F34" t="s">
        <v>266</v>
      </c>
    </row>
    <row r="35" spans="1:6" ht="29.25" customHeight="1">
      <c r="A35" s="4">
        <v>16.1</v>
      </c>
      <c r="B35" s="35">
        <f>IF(D35="None in place",0,IF(D35="In planning stages",2,IF(D35="Implemented",4,"")))</f>
      </c>
      <c r="C35" s="3" t="s">
        <v>421</v>
      </c>
      <c r="D35" s="33"/>
      <c r="E35" s="3">
        <f>IF(D35="None in place",F35,"")</f>
      </c>
      <c r="F35" t="s">
        <v>258</v>
      </c>
    </row>
    <row r="36" spans="1:6" ht="29.25" customHeight="1">
      <c r="A36" s="57">
        <v>16.11</v>
      </c>
      <c r="B36" s="54">
        <f t="shared" si="2"/>
      </c>
      <c r="C36" s="3" t="s">
        <v>422</v>
      </c>
      <c r="D36" s="33"/>
      <c r="E36" s="3">
        <f t="shared" si="3"/>
      </c>
      <c r="F36" t="s">
        <v>267</v>
      </c>
    </row>
    <row r="37" spans="1:5" ht="30">
      <c r="A37" s="55" t="s">
        <v>210</v>
      </c>
      <c r="B37" s="56" t="e">
        <f>AVERAGE(B26:B36)</f>
        <v>#DIV/0!</v>
      </c>
      <c r="C37" s="76"/>
      <c r="D37" s="76"/>
      <c r="E37" s="76"/>
    </row>
  </sheetData>
  <mergeCells count="7">
    <mergeCell ref="A23:E23"/>
    <mergeCell ref="C21:E21"/>
    <mergeCell ref="C37:E37"/>
    <mergeCell ref="C2:E2"/>
    <mergeCell ref="C3:E3"/>
    <mergeCell ref="C4:E4"/>
    <mergeCell ref="A10:E10"/>
  </mergeCells>
  <conditionalFormatting sqref="E25 E12">
    <cfRule type="cellIs" priority="1" dxfId="0" operator="equal" stopIfTrue="1">
      <formula>0</formula>
    </cfRule>
  </conditionalFormatting>
  <conditionalFormatting sqref="B7 B37 B21">
    <cfRule type="expression" priority="2" dxfId="2" stopIfTrue="1">
      <formula>ISERROR(B7)</formula>
    </cfRule>
  </conditionalFormatting>
  <dataValidations count="5">
    <dataValidation type="list" allowBlank="1" showInputMessage="1" showErrorMessage="1" sqref="D36 D26:D33">
      <formula1>"No, Planning to, Yes"</formula1>
    </dataValidation>
    <dataValidation type="list" allowBlank="1" showInputMessage="1" showErrorMessage="1" sqref="D35">
      <formula1>"None in place, In planning stages, Implemented"</formula1>
    </dataValidation>
    <dataValidation type="list" allowBlank="1" showInputMessage="1" showErrorMessage="1" sqref="D34">
      <formula1>"However they want,Free-form e-mail or voicemail,Online form"</formula1>
    </dataValidation>
    <dataValidation type="list" allowBlank="1" showInputMessage="1" showErrorMessage="1" sqref="D20">
      <formula1>"Non-existent,Non-existent but plan to implement,Ad hoc,Implementing more formalized process,Formalized process now in place"</formula1>
    </dataValidation>
    <dataValidation type="list" allowBlank="1" showInputMessage="1" showErrorMessage="1" sqref="D13:D19">
      <formula1>"No,Planning to,Yes"</formula1>
    </dataValidation>
  </dataValidations>
  <printOptions/>
  <pageMargins left="0.75" right="0.75" top="1" bottom="1" header="0.5" footer="0.5"/>
  <pageSetup fitToHeight="1" fitToWidth="1" horizontalDpi="600" verticalDpi="600" orientation="landscape" scale="49"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F25"/>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00390625" style="0" customWidth="1"/>
    <col min="2" max="2" width="8.7109375" style="0" customWidth="1"/>
    <col min="3" max="3" width="71.421875" style="0" customWidth="1"/>
    <col min="4" max="4" width="40.8515625" style="0" customWidth="1"/>
    <col min="5" max="5" width="76.00390625" style="0" customWidth="1"/>
    <col min="6" max="6" width="51.28125" style="0" hidden="1" customWidth="1"/>
  </cols>
  <sheetData>
    <row r="2" spans="3:5" ht="33.75" customHeight="1">
      <c r="C2" s="70" t="s">
        <v>463</v>
      </c>
      <c r="D2" s="70"/>
      <c r="E2" s="70"/>
    </row>
    <row r="3" spans="3:5" ht="26.25" customHeight="1">
      <c r="C3" s="77" t="s">
        <v>288</v>
      </c>
      <c r="D3" s="77"/>
      <c r="E3" s="77"/>
    </row>
    <row r="4" spans="3:5" ht="26.25">
      <c r="C4" s="79" t="s">
        <v>179</v>
      </c>
      <c r="D4" s="79"/>
      <c r="E4" s="79"/>
    </row>
    <row r="5" ht="9" customHeight="1"/>
    <row r="6" spans="1:2" ht="12.75">
      <c r="A6" s="28" t="s">
        <v>212</v>
      </c>
      <c r="B6" s="29"/>
    </row>
    <row r="7" spans="1:2" ht="41.25" customHeight="1">
      <c r="A7" s="30" t="s">
        <v>211</v>
      </c>
      <c r="B7" s="32" t="e">
        <f>AVERAGE(B13:B24)</f>
        <v>#DIV/0!</v>
      </c>
    </row>
    <row r="8" spans="1:2" ht="27.75" customHeight="1">
      <c r="A8" s="30" t="s">
        <v>209</v>
      </c>
      <c r="B8" s="31">
        <f>Weightings!D20</f>
        <v>0</v>
      </c>
    </row>
    <row r="9" ht="9.75" customHeight="1"/>
    <row r="10" spans="1:5" ht="23.25">
      <c r="A10" s="74" t="s">
        <v>175</v>
      </c>
      <c r="B10" s="74"/>
      <c r="C10" s="74"/>
      <c r="D10" s="74"/>
      <c r="E10" s="74"/>
    </row>
    <row r="11" ht="14.25">
      <c r="A11" s="6" t="s">
        <v>26</v>
      </c>
    </row>
    <row r="12" spans="1:5" ht="15">
      <c r="A12" s="8" t="s">
        <v>465</v>
      </c>
      <c r="B12" s="9" t="s">
        <v>466</v>
      </c>
      <c r="C12" s="8" t="s">
        <v>467</v>
      </c>
      <c r="D12" s="8" t="s">
        <v>468</v>
      </c>
      <c r="E12" s="10" t="s">
        <v>469</v>
      </c>
    </row>
    <row r="13" spans="1:6" ht="30" customHeight="1">
      <c r="A13" s="1">
        <v>17.1</v>
      </c>
      <c r="B13" s="35">
        <f aca="true" t="shared" si="0" ref="B13:B24">IF(D13="No",0,IF(D13="Planning To",2,IF(D13="Yes",4,"")))</f>
      </c>
      <c r="C13" s="3" t="s">
        <v>423</v>
      </c>
      <c r="D13" s="33"/>
      <c r="E13" s="3">
        <f>IF(D13="No",F13,"")</f>
      </c>
      <c r="F13" t="s">
        <v>268</v>
      </c>
    </row>
    <row r="14" spans="1:6" ht="30" customHeight="1">
      <c r="A14" s="1">
        <v>17.2</v>
      </c>
      <c r="B14" s="35">
        <f>IF(D14="No one or whoever is available",0,IF(D14="Non-dedicated personnel",2,IF(D14="Dedicated personnel",4,"")))</f>
      </c>
      <c r="C14" s="3" t="s">
        <v>424</v>
      </c>
      <c r="D14" s="33"/>
      <c r="E14" s="3">
        <f>IF(D14="No one or whoever is available",F14,"")</f>
      </c>
      <c r="F14" t="s">
        <v>269</v>
      </c>
    </row>
    <row r="15" spans="1:6" ht="30" customHeight="1">
      <c r="A15" s="1">
        <v>17.3</v>
      </c>
      <c r="B15" s="35">
        <f t="shared" si="0"/>
      </c>
      <c r="C15" s="3" t="s">
        <v>425</v>
      </c>
      <c r="D15" s="33"/>
      <c r="E15" s="3">
        <f aca="true" t="shared" si="1" ref="E15:E24">IF(D15="No",F15,"")</f>
      </c>
      <c r="F15" t="s">
        <v>270</v>
      </c>
    </row>
    <row r="16" spans="1:6" ht="30" customHeight="1">
      <c r="A16" s="1">
        <v>17.4</v>
      </c>
      <c r="B16" s="35">
        <f t="shared" si="0"/>
      </c>
      <c r="C16" s="3" t="s">
        <v>426</v>
      </c>
      <c r="D16" s="33"/>
      <c r="E16" s="3">
        <f t="shared" si="1"/>
      </c>
      <c r="F16" t="s">
        <v>271</v>
      </c>
    </row>
    <row r="17" spans="1:6" ht="30" customHeight="1">
      <c r="A17" s="1">
        <v>17.5</v>
      </c>
      <c r="B17" s="35">
        <f>IF(D17="Nothing",0,IF(D17="Ad hoc solutions – i.e. spreadsheets",1,IF(D17="Custom-built PM application",2,IF(D17="Standalone PM software - e.g. MS Project",3,IF(D17="Shared PM software - e.g. Primavera Teamplay",4,"")))))</f>
      </c>
      <c r="C17" s="3" t="s">
        <v>427</v>
      </c>
      <c r="D17" s="33"/>
      <c r="E17" s="3">
        <f>IF(D17="Nothing",F17,"")</f>
      </c>
      <c r="F17" t="s">
        <v>272</v>
      </c>
    </row>
    <row r="18" spans="1:6" ht="30" customHeight="1">
      <c r="A18" s="1">
        <v>17.6</v>
      </c>
      <c r="B18" s="35">
        <f t="shared" si="0"/>
      </c>
      <c r="C18" s="3" t="s">
        <v>498</v>
      </c>
      <c r="D18" s="33"/>
      <c r="E18" s="3">
        <f t="shared" si="1"/>
      </c>
      <c r="F18" t="s">
        <v>273</v>
      </c>
    </row>
    <row r="19" spans="1:6" ht="30" customHeight="1">
      <c r="A19" s="1">
        <v>17.7</v>
      </c>
      <c r="B19" s="35">
        <f>IF(D19="0-20%",0,IF(D19="21-40%",1,IF(D19="41-60%",2,IF(D19="61-80%",3,IF(D19="81-100%",4,"")))))</f>
      </c>
      <c r="C19" s="3" t="s">
        <v>428</v>
      </c>
      <c r="D19" s="33"/>
      <c r="E19" s="3">
        <f>IF(D19="0-20%",F19,"")</f>
      </c>
      <c r="F19" t="s">
        <v>279</v>
      </c>
    </row>
    <row r="20" spans="1:6" ht="30" customHeight="1">
      <c r="A20" s="1">
        <v>17.8</v>
      </c>
      <c r="B20" s="35">
        <f t="shared" si="0"/>
      </c>
      <c r="C20" s="3" t="s">
        <v>429</v>
      </c>
      <c r="D20" s="33"/>
      <c r="E20" s="3">
        <f t="shared" si="1"/>
      </c>
      <c r="F20" t="s">
        <v>274</v>
      </c>
    </row>
    <row r="21" spans="1:6" ht="30" customHeight="1">
      <c r="A21" s="1">
        <v>17.9</v>
      </c>
      <c r="B21" s="35">
        <f>IF(D21="None",0,IF(D21="Ad hoc",2,IF(D21="Scheduled distribution of template-based reports",4,"")))</f>
      </c>
      <c r="C21" s="3" t="s">
        <v>430</v>
      </c>
      <c r="D21" s="33"/>
      <c r="E21" s="3">
        <f>IF(D21="None",F21,"")</f>
      </c>
      <c r="F21" t="s">
        <v>275</v>
      </c>
    </row>
    <row r="22" spans="1:6" ht="30" customHeight="1">
      <c r="A22" s="4">
        <v>17.1</v>
      </c>
      <c r="B22" s="35">
        <f t="shared" si="0"/>
      </c>
      <c r="C22" s="3" t="s">
        <v>431</v>
      </c>
      <c r="D22" s="33"/>
      <c r="E22" s="3">
        <f t="shared" si="1"/>
      </c>
      <c r="F22" t="s">
        <v>276</v>
      </c>
    </row>
    <row r="23" spans="1:6" ht="30" customHeight="1">
      <c r="A23" s="1">
        <v>17.11</v>
      </c>
      <c r="B23" s="35">
        <f t="shared" si="0"/>
      </c>
      <c r="C23" s="3" t="s">
        <v>432</v>
      </c>
      <c r="D23" s="33"/>
      <c r="E23" s="3">
        <f t="shared" si="1"/>
      </c>
      <c r="F23" t="s">
        <v>277</v>
      </c>
    </row>
    <row r="24" spans="1:6" ht="30" customHeight="1">
      <c r="A24" s="53">
        <v>17.12</v>
      </c>
      <c r="B24" s="54">
        <f t="shared" si="0"/>
      </c>
      <c r="C24" s="3" t="s">
        <v>433</v>
      </c>
      <c r="D24" s="33"/>
      <c r="E24" s="3">
        <f t="shared" si="1"/>
      </c>
      <c r="F24" t="s">
        <v>278</v>
      </c>
    </row>
    <row r="25" spans="1:5" ht="30">
      <c r="A25" s="55" t="s">
        <v>210</v>
      </c>
      <c r="B25" s="56" t="e">
        <f>AVERAGE(B13:B24)</f>
        <v>#DIV/0!</v>
      </c>
      <c r="C25" s="75"/>
      <c r="D25" s="76"/>
      <c r="E25" s="76"/>
    </row>
  </sheetData>
  <mergeCells count="5">
    <mergeCell ref="C25:E25"/>
    <mergeCell ref="C2:E2"/>
    <mergeCell ref="C3:E3"/>
    <mergeCell ref="C4:E4"/>
    <mergeCell ref="A10:E10"/>
  </mergeCells>
  <conditionalFormatting sqref="E12">
    <cfRule type="cellIs" priority="1" dxfId="0" operator="equal" stopIfTrue="1">
      <formula>0</formula>
    </cfRule>
  </conditionalFormatting>
  <conditionalFormatting sqref="B7 B25">
    <cfRule type="expression" priority="2" dxfId="2" stopIfTrue="1">
      <formula>ISERROR(B7)</formula>
    </cfRule>
  </conditionalFormatting>
  <dataValidations count="5">
    <dataValidation type="list" allowBlank="1" showInputMessage="1" showErrorMessage="1" sqref="D22:D24 D20 D18 D15:D16 D13">
      <formula1>"No,Planning to,Yes"</formula1>
    </dataValidation>
    <dataValidation type="list" allowBlank="1" showInputMessage="1" showErrorMessage="1" sqref="D14">
      <formula1>"No one or whoever is available,Non-dedicated personnel,Dedicated personnel"</formula1>
    </dataValidation>
    <dataValidation type="list" allowBlank="1" showInputMessage="1" showErrorMessage="1" sqref="D17">
      <formula1>"Nothing,Ad hoc solutions – i.e. spreadsheets,Custom-built PM application,Standalone PM software - e.g. MS Project,Shared PM software - e.g. Primavera Teamplay"</formula1>
    </dataValidation>
    <dataValidation type="list" allowBlank="1" showInputMessage="1" showErrorMessage="1" sqref="D19">
      <formula1>"0-20%,21-40%,41-60%,61-80%,81-100%"</formula1>
    </dataValidation>
    <dataValidation type="list" allowBlank="1" showInputMessage="1" showErrorMessage="1" sqref="D21">
      <formula1>"None,Ad hoc,Scheduled distribution of template-based reports"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2:F51"/>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00390625" style="0" customWidth="1"/>
    <col min="2" max="2" width="8.8515625" style="0" customWidth="1"/>
    <col min="3" max="3" width="71.421875" style="0" customWidth="1"/>
    <col min="4" max="4" width="40.8515625" style="0" customWidth="1"/>
    <col min="5" max="5" width="75.8515625" style="0" customWidth="1"/>
    <col min="6" max="6" width="48.28125" style="0" hidden="1" customWidth="1"/>
  </cols>
  <sheetData>
    <row r="2" spans="3:5" ht="33.75" customHeight="1">
      <c r="C2" s="70" t="s">
        <v>463</v>
      </c>
      <c r="D2" s="70"/>
      <c r="E2" s="70"/>
    </row>
    <row r="3" spans="3:5" ht="26.25" customHeight="1">
      <c r="C3" s="77" t="s">
        <v>288</v>
      </c>
      <c r="D3" s="77"/>
      <c r="E3" s="77"/>
    </row>
    <row r="4" spans="3:5" ht="26.25">
      <c r="C4" s="78" t="s">
        <v>178</v>
      </c>
      <c r="D4" s="78"/>
      <c r="E4" s="78"/>
    </row>
    <row r="5" ht="9" customHeight="1"/>
    <row r="6" spans="1:2" ht="12.75">
      <c r="A6" s="28" t="s">
        <v>212</v>
      </c>
      <c r="B6" s="29"/>
    </row>
    <row r="7" spans="1:2" ht="41.25" customHeight="1">
      <c r="A7" s="30" t="s">
        <v>211</v>
      </c>
      <c r="B7" s="32" t="e">
        <f>AVERAGE(B13:B20,B26:B35,B41:B50)</f>
        <v>#DIV/0!</v>
      </c>
    </row>
    <row r="8" spans="1:2" ht="28.5" customHeight="1">
      <c r="A8" s="30" t="s">
        <v>209</v>
      </c>
      <c r="B8" s="31">
        <f>Weightings!D21</f>
        <v>0</v>
      </c>
    </row>
    <row r="9" spans="1:2" ht="9.75" customHeight="1">
      <c r="A9" s="14"/>
      <c r="B9" s="15"/>
    </row>
    <row r="10" spans="1:5" ht="23.25">
      <c r="A10" s="74" t="s">
        <v>183</v>
      </c>
      <c r="B10" s="74"/>
      <c r="C10" s="74"/>
      <c r="D10" s="74"/>
      <c r="E10" s="74"/>
    </row>
    <row r="11" ht="14.25">
      <c r="A11" s="6" t="s">
        <v>184</v>
      </c>
    </row>
    <row r="12" spans="1:5" ht="15">
      <c r="A12" s="8" t="s">
        <v>465</v>
      </c>
      <c r="B12" s="9" t="s">
        <v>466</v>
      </c>
      <c r="C12" s="8" t="s">
        <v>467</v>
      </c>
      <c r="D12" s="8" t="s">
        <v>468</v>
      </c>
      <c r="E12" s="10" t="s">
        <v>469</v>
      </c>
    </row>
    <row r="13" spans="1:6" ht="30" customHeight="1">
      <c r="A13" s="1">
        <v>18.1</v>
      </c>
      <c r="B13" s="35">
        <f>IF(D13="No",0,IF(D13="Planning To",2,IF(D13="Yes",4,"")))</f>
      </c>
      <c r="C13" s="3" t="s">
        <v>434</v>
      </c>
      <c r="D13" s="33"/>
      <c r="E13" s="3">
        <f aca="true" t="shared" si="0" ref="E13:E20">IF(D13="No",F13,"")</f>
      </c>
      <c r="F13" t="s">
        <v>134</v>
      </c>
    </row>
    <row r="14" spans="1:6" ht="30" customHeight="1">
      <c r="A14" s="1">
        <v>18.2</v>
      </c>
      <c r="B14" s="35">
        <f aca="true" t="shared" si="1" ref="B14:B20">IF(D14="No",0,IF(D14="Planning To",2,IF(D14="Yes",4,"")))</f>
      </c>
      <c r="C14" s="3" t="s">
        <v>435</v>
      </c>
      <c r="D14" s="33"/>
      <c r="E14" s="3">
        <f t="shared" si="0"/>
      </c>
      <c r="F14" t="s">
        <v>135</v>
      </c>
    </row>
    <row r="15" spans="1:6" ht="30" customHeight="1">
      <c r="A15" s="1">
        <v>18.3</v>
      </c>
      <c r="B15" s="35">
        <f t="shared" si="1"/>
      </c>
      <c r="C15" s="3" t="s">
        <v>436</v>
      </c>
      <c r="D15" s="33"/>
      <c r="E15" s="3">
        <f t="shared" si="0"/>
      </c>
      <c r="F15" t="s">
        <v>136</v>
      </c>
    </row>
    <row r="16" spans="1:6" ht="30" customHeight="1">
      <c r="A16" s="1">
        <v>18.4</v>
      </c>
      <c r="B16" s="35">
        <f t="shared" si="1"/>
      </c>
      <c r="C16" s="3" t="s">
        <v>437</v>
      </c>
      <c r="D16" s="33"/>
      <c r="E16" s="3">
        <f t="shared" si="0"/>
      </c>
      <c r="F16" t="s">
        <v>137</v>
      </c>
    </row>
    <row r="17" spans="1:6" ht="30" customHeight="1">
      <c r="A17" s="1">
        <v>18.5</v>
      </c>
      <c r="B17" s="35">
        <f t="shared" si="1"/>
      </c>
      <c r="C17" s="3" t="s">
        <v>438</v>
      </c>
      <c r="D17" s="33"/>
      <c r="E17" s="3">
        <f t="shared" si="0"/>
      </c>
      <c r="F17" t="s">
        <v>138</v>
      </c>
    </row>
    <row r="18" spans="1:6" ht="30" customHeight="1">
      <c r="A18" s="1">
        <v>18.6</v>
      </c>
      <c r="B18" s="35">
        <f>IF(D18="No",0,IF(D18="Ad hoc solutions – i.e. spreadsheets",2,IF(D18="Proper financial management software",4,"")))</f>
      </c>
      <c r="C18" s="3" t="s">
        <v>440</v>
      </c>
      <c r="D18" s="33"/>
      <c r="E18" s="3">
        <f t="shared" si="0"/>
      </c>
      <c r="F18" t="s">
        <v>139</v>
      </c>
    </row>
    <row r="19" spans="1:6" ht="30" customHeight="1">
      <c r="A19" s="1">
        <v>18.7</v>
      </c>
      <c r="B19" s="35">
        <f t="shared" si="1"/>
      </c>
      <c r="C19" s="3" t="s">
        <v>441</v>
      </c>
      <c r="D19" s="33"/>
      <c r="E19" s="3">
        <f t="shared" si="0"/>
      </c>
      <c r="F19" t="s">
        <v>140</v>
      </c>
    </row>
    <row r="20" spans="1:6" ht="30" customHeight="1">
      <c r="A20" s="53">
        <v>18.8</v>
      </c>
      <c r="B20" s="54">
        <f t="shared" si="1"/>
      </c>
      <c r="C20" s="3" t="s">
        <v>442</v>
      </c>
      <c r="D20" s="33"/>
      <c r="E20" s="3">
        <f t="shared" si="0"/>
      </c>
      <c r="F20" t="s">
        <v>141</v>
      </c>
    </row>
    <row r="21" spans="1:5" ht="30" customHeight="1">
      <c r="A21" s="55" t="s">
        <v>210</v>
      </c>
      <c r="B21" s="56" t="e">
        <f>AVERAGE(B13:B20)</f>
        <v>#DIV/0!</v>
      </c>
      <c r="C21" s="75"/>
      <c r="D21" s="76"/>
      <c r="E21" s="76"/>
    </row>
    <row r="23" spans="1:5" ht="23.25">
      <c r="A23" s="74" t="s">
        <v>176</v>
      </c>
      <c r="B23" s="74"/>
      <c r="C23" s="74"/>
      <c r="D23" s="74"/>
      <c r="E23" s="74"/>
    </row>
    <row r="24" ht="14.25">
      <c r="A24" s="6" t="s">
        <v>464</v>
      </c>
    </row>
    <row r="25" spans="1:5" ht="14.25" customHeight="1">
      <c r="A25" s="8" t="s">
        <v>465</v>
      </c>
      <c r="B25" s="9" t="s">
        <v>466</v>
      </c>
      <c r="C25" s="8" t="s">
        <v>467</v>
      </c>
      <c r="D25" s="8" t="s">
        <v>468</v>
      </c>
      <c r="E25" s="10" t="s">
        <v>469</v>
      </c>
    </row>
    <row r="26" spans="1:6" ht="29.25" customHeight="1">
      <c r="A26" s="1">
        <v>19.1</v>
      </c>
      <c r="B26" s="35">
        <f aca="true" t="shared" si="2" ref="B26:B35">IF(D26="No",0,IF(D26="Planning To",2,IF(D26="Yes",4,"")))</f>
      </c>
      <c r="C26" s="3" t="s">
        <v>443</v>
      </c>
      <c r="D26" s="33"/>
      <c r="E26" s="3">
        <f aca="true" t="shared" si="3" ref="E26:E35">IF(D26="No",F26,"")</f>
      </c>
      <c r="F26" t="s">
        <v>213</v>
      </c>
    </row>
    <row r="27" spans="1:6" ht="29.25" customHeight="1">
      <c r="A27" s="1">
        <v>19.2</v>
      </c>
      <c r="B27" s="35">
        <f t="shared" si="2"/>
      </c>
      <c r="C27" s="3" t="s">
        <v>444</v>
      </c>
      <c r="D27" s="33"/>
      <c r="E27" s="3">
        <f t="shared" si="3"/>
      </c>
      <c r="F27" t="s">
        <v>214</v>
      </c>
    </row>
    <row r="28" spans="1:6" ht="29.25" customHeight="1">
      <c r="A28" s="1">
        <v>19.3</v>
      </c>
      <c r="B28" s="35">
        <f>IF(D28="Never updated",0,IF(D28="Occasionally updated",1,IF(D28="Once every year",2,IF(D28="Once every 6 months",3,IF(D28="Once per quarter",4,"")))))</f>
      </c>
      <c r="C28" s="3" t="s">
        <v>445</v>
      </c>
      <c r="D28" s="33"/>
      <c r="E28" s="3">
        <f>IF(D28="Never updated",F28,"")</f>
      </c>
      <c r="F28" t="s">
        <v>215</v>
      </c>
    </row>
    <row r="29" spans="1:6" ht="29.25" customHeight="1">
      <c r="A29" s="1">
        <v>19.4</v>
      </c>
      <c r="B29" s="35">
        <f t="shared" si="2"/>
      </c>
      <c r="C29" s="3" t="s">
        <v>446</v>
      </c>
      <c r="D29" s="33"/>
      <c r="E29" s="3">
        <f t="shared" si="3"/>
      </c>
      <c r="F29" t="s">
        <v>216</v>
      </c>
    </row>
    <row r="30" spans="1:6" ht="29.25" customHeight="1">
      <c r="A30" s="1">
        <v>19.5</v>
      </c>
      <c r="B30" s="35">
        <f>IF(D30="On a local hard drive",0,IF(D30="Printed form",2,IF(D30="Corporate intranet",4,"")))</f>
      </c>
      <c r="C30" s="3" t="s">
        <v>447</v>
      </c>
      <c r="D30" s="33"/>
      <c r="E30" s="3">
        <f>IF(D30="On a local hard drive",F30,"")</f>
      </c>
      <c r="F30" t="s">
        <v>217</v>
      </c>
    </row>
    <row r="31" spans="1:6" ht="29.25" customHeight="1">
      <c r="A31" s="1">
        <v>19.6</v>
      </c>
      <c r="B31" s="35">
        <f t="shared" si="2"/>
      </c>
      <c r="C31" s="3" t="s">
        <v>448</v>
      </c>
      <c r="D31" s="33"/>
      <c r="E31" s="3">
        <f t="shared" si="3"/>
      </c>
      <c r="F31" t="s">
        <v>218</v>
      </c>
    </row>
    <row r="32" spans="1:6" ht="29.25" customHeight="1">
      <c r="A32" s="1">
        <v>19.7</v>
      </c>
      <c r="B32" s="35">
        <f t="shared" si="2"/>
      </c>
      <c r="C32" s="3" t="s">
        <v>449</v>
      </c>
      <c r="D32" s="33"/>
      <c r="E32" s="3">
        <f t="shared" si="3"/>
      </c>
      <c r="F32" t="s">
        <v>219</v>
      </c>
    </row>
    <row r="33" spans="1:6" ht="29.25" customHeight="1">
      <c r="A33" s="1">
        <v>19.8</v>
      </c>
      <c r="B33" s="35">
        <f>IF(D33="CIO only",0,IF(D33="CIO and IT management",1,IF(D33="All required IT personnel",2,IF(D33="IT and business leadership",3,IF(D33="IT and all required business personnel",4,"")))))</f>
      </c>
      <c r="C33" s="3" t="s">
        <v>450</v>
      </c>
      <c r="D33" s="33"/>
      <c r="E33" s="3">
        <f>IF(D33="CIO only",F33,"")</f>
      </c>
      <c r="F33" t="s">
        <v>143</v>
      </c>
    </row>
    <row r="34" spans="1:6" ht="29.25" customHeight="1">
      <c r="A34" s="1">
        <v>19.9</v>
      </c>
      <c r="B34" s="35">
        <f>IF(D34="Never",0,IF(D34="Rarely",1,IF(D34="Occasionally",2,IF(D34="Often",3,IF(D34="Always",4,"")))))</f>
      </c>
      <c r="C34" s="3" t="s">
        <v>451</v>
      </c>
      <c r="D34" s="33"/>
      <c r="E34" s="3">
        <f>IF(D34="Never",F34,"")</f>
      </c>
      <c r="F34" t="s">
        <v>142</v>
      </c>
    </row>
    <row r="35" spans="1:6" ht="29.25" customHeight="1">
      <c r="A35" s="57">
        <v>19.1</v>
      </c>
      <c r="B35" s="54">
        <f t="shared" si="2"/>
      </c>
      <c r="C35" s="3" t="s">
        <v>452</v>
      </c>
      <c r="D35" s="33"/>
      <c r="E35" s="3">
        <f t="shared" si="3"/>
      </c>
      <c r="F35" t="s">
        <v>280</v>
      </c>
    </row>
    <row r="36" spans="1:5" ht="30">
      <c r="A36" s="55" t="s">
        <v>210</v>
      </c>
      <c r="B36" s="56" t="e">
        <f>AVERAGE(B26:B35)</f>
        <v>#DIV/0!</v>
      </c>
      <c r="C36" s="76"/>
      <c r="D36" s="76"/>
      <c r="E36" s="76"/>
    </row>
    <row r="38" spans="1:5" ht="23.25">
      <c r="A38" s="74" t="s">
        <v>177</v>
      </c>
      <c r="B38" s="74"/>
      <c r="C38" s="74"/>
      <c r="D38" s="74"/>
      <c r="E38" s="74"/>
    </row>
    <row r="39" spans="1:5" ht="14.25">
      <c r="A39" s="6" t="s">
        <v>27</v>
      </c>
      <c r="B39" s="7"/>
      <c r="C39" s="7"/>
      <c r="D39" s="7"/>
      <c r="E39" s="7"/>
    </row>
    <row r="40" spans="1:5" ht="15">
      <c r="A40" s="8" t="s">
        <v>465</v>
      </c>
      <c r="B40" s="9" t="s">
        <v>466</v>
      </c>
      <c r="C40" s="8" t="s">
        <v>467</v>
      </c>
      <c r="D40" s="8" t="s">
        <v>468</v>
      </c>
      <c r="E40" s="10" t="s">
        <v>469</v>
      </c>
    </row>
    <row r="41" spans="1:6" ht="30" customHeight="1">
      <c r="A41" s="1">
        <v>20.1</v>
      </c>
      <c r="B41" s="35">
        <f>IF(D41="No one",0,IF(D41="Corporate HR",2,IF(D41="IT HR",4,"")))</f>
      </c>
      <c r="C41" s="2" t="s">
        <v>453</v>
      </c>
      <c r="D41" s="33"/>
      <c r="E41" s="3">
        <f>IF(D41="No one",F41,"")</f>
      </c>
      <c r="F41" t="s">
        <v>284</v>
      </c>
    </row>
    <row r="42" spans="1:6" ht="30" customHeight="1">
      <c r="A42" s="1">
        <v>20.2</v>
      </c>
      <c r="B42" s="35">
        <f aca="true" t="shared" si="4" ref="B42:B50">IF(D42="No",0,IF(D42="Planning To",2,IF(D42="Yes",4,"")))</f>
      </c>
      <c r="C42" s="2" t="s">
        <v>454</v>
      </c>
      <c r="D42" s="33"/>
      <c r="E42" s="3">
        <f>IF(D42="No",F42,"")</f>
      </c>
      <c r="F42" t="s">
        <v>281</v>
      </c>
    </row>
    <row r="43" spans="1:6" ht="30" customHeight="1">
      <c r="A43" s="1">
        <v>20.3</v>
      </c>
      <c r="B43" s="35">
        <f t="shared" si="4"/>
      </c>
      <c r="C43" s="2" t="s">
        <v>455</v>
      </c>
      <c r="D43" s="33"/>
      <c r="E43" s="3">
        <f>IF(D43="No",F43,"")</f>
      </c>
      <c r="F43" t="s">
        <v>282</v>
      </c>
    </row>
    <row r="44" spans="1:6" ht="30" customHeight="1">
      <c r="A44" s="1">
        <v>20.4</v>
      </c>
      <c r="B44" s="35">
        <f>IF(D44="No one",0,IF(D44="Direct superior",2,IF(D44="Dedicated IT career manager",4,"")))</f>
      </c>
      <c r="C44" s="2" t="s">
        <v>456</v>
      </c>
      <c r="D44" s="33"/>
      <c r="E44" s="3">
        <f>IF(D44="No one",F44,"")</f>
      </c>
      <c r="F44" t="s">
        <v>219</v>
      </c>
    </row>
    <row r="45" spans="1:6" ht="30" customHeight="1">
      <c r="A45" s="1">
        <v>20.5</v>
      </c>
      <c r="B45" s="35">
        <f t="shared" si="4"/>
      </c>
      <c r="C45" s="2" t="s">
        <v>457</v>
      </c>
      <c r="D45" s="33"/>
      <c r="E45" s="3">
        <f>IF(D45="No",F45,"")</f>
      </c>
      <c r="F45" t="s">
        <v>283</v>
      </c>
    </row>
    <row r="46" spans="1:6" ht="30" customHeight="1">
      <c r="A46" s="1">
        <v>20.6</v>
      </c>
      <c r="B46" s="35">
        <f>IF(D46="Never",0,IF(D46="Occasionally",1,IF(D46="Once every year",2,IF(D46="Once every 6 months",3,IF(D46="Once per quarter",4,"")))))</f>
      </c>
      <c r="C46" s="2" t="s">
        <v>458</v>
      </c>
      <c r="D46" s="33"/>
      <c r="E46" s="3">
        <f>IF(D46="Never",F46,"")</f>
      </c>
      <c r="F46" t="s">
        <v>285</v>
      </c>
    </row>
    <row r="47" spans="1:6" ht="30" customHeight="1">
      <c r="A47" s="1">
        <v>20.7</v>
      </c>
      <c r="B47" s="35">
        <f>IF(D47="Never",0,IF(D47="Occasionally",1,IF(D47="Once every year",2,IF(D47="Once every 6 months",3,IF(D47="Once per quarter",4,"")))))</f>
      </c>
      <c r="C47" s="2" t="s">
        <v>459</v>
      </c>
      <c r="D47" s="33"/>
      <c r="E47" s="3">
        <f>IF(D47="Never",F47,"")</f>
      </c>
      <c r="F47" t="s">
        <v>286</v>
      </c>
    </row>
    <row r="48" spans="1:6" ht="30" customHeight="1">
      <c r="A48" s="1">
        <v>20.8</v>
      </c>
      <c r="B48" s="35">
        <f>IF(D48="Below",0,IF(D48="Same",2,IF(D48="Above",4,"")))</f>
      </c>
      <c r="C48" s="2" t="s">
        <v>460</v>
      </c>
      <c r="D48" s="33"/>
      <c r="E48" s="3">
        <f>IF(D48="Below",F48,"")</f>
      </c>
      <c r="F48" t="s">
        <v>289</v>
      </c>
    </row>
    <row r="49" spans="1:6" ht="30" customHeight="1">
      <c r="A49" s="1">
        <v>20.9</v>
      </c>
      <c r="B49" s="35">
        <f>IF(D49="Above 10 per cent",0,IF(D49="5 to 9 per cent",2,IF(D49="0 to 4 per cent",4,"")))</f>
      </c>
      <c r="C49" s="2" t="s">
        <v>461</v>
      </c>
      <c r="D49" s="33"/>
      <c r="E49" s="3">
        <f>IF(D49="Above 10 per cent",F49,"")</f>
      </c>
      <c r="F49" t="s">
        <v>290</v>
      </c>
    </row>
    <row r="50" spans="1:6" ht="30" customHeight="1">
      <c r="A50" s="57">
        <v>20.1</v>
      </c>
      <c r="B50" s="54">
        <f t="shared" si="4"/>
      </c>
      <c r="C50" s="2" t="s">
        <v>462</v>
      </c>
      <c r="D50" s="33"/>
      <c r="E50" s="3">
        <f>IF(D50="No",F50,"")</f>
      </c>
      <c r="F50" t="s">
        <v>291</v>
      </c>
    </row>
    <row r="51" spans="1:5" ht="30">
      <c r="A51" s="55" t="s">
        <v>210</v>
      </c>
      <c r="B51" s="56" t="e">
        <f>AVERAGE(B41:B50)</f>
        <v>#DIV/0!</v>
      </c>
      <c r="C51" s="76"/>
      <c r="D51" s="76"/>
      <c r="E51" s="76"/>
    </row>
  </sheetData>
  <mergeCells count="9">
    <mergeCell ref="C2:E2"/>
    <mergeCell ref="C3:E3"/>
    <mergeCell ref="C4:E4"/>
    <mergeCell ref="A10:E10"/>
    <mergeCell ref="C51:E51"/>
    <mergeCell ref="A23:E23"/>
    <mergeCell ref="A38:E38"/>
    <mergeCell ref="C21:E21"/>
    <mergeCell ref="C36:E36"/>
  </mergeCells>
  <conditionalFormatting sqref="E40 E25 E12">
    <cfRule type="cellIs" priority="1" dxfId="0" operator="equal" stopIfTrue="1">
      <formula>0</formula>
    </cfRule>
  </conditionalFormatting>
  <conditionalFormatting sqref="B7 B51 B36 B21">
    <cfRule type="expression" priority="2" dxfId="2" stopIfTrue="1">
      <formula>ISERROR(B7)</formula>
    </cfRule>
  </conditionalFormatting>
  <dataValidations count="11">
    <dataValidation type="list" allowBlank="1" showInputMessage="1" showErrorMessage="1" sqref="D50 D45 D42:D43 D26:D27 D31:D32 D35 D29 D13:D17 D19:D20">
      <formula1>"No,Planning to,Yes"</formula1>
    </dataValidation>
    <dataValidation type="list" allowBlank="1" showInputMessage="1" showErrorMessage="1" sqref="D18">
      <formula1>"No,Ad hoc solutions – i.e. spreadsheets,Proper financial management software"</formula1>
    </dataValidation>
    <dataValidation type="list" allowBlank="1" showInputMessage="1" showErrorMessage="1" sqref="D33">
      <formula1>"CIO only,CIO and IT management,All required IT personnel,IT and business leadership,IT and all required business personnel"</formula1>
    </dataValidation>
    <dataValidation type="list" allowBlank="1" showInputMessage="1" showErrorMessage="1" sqref="D34">
      <formula1>"Never,Rarely,Occasionally,Often,Always"</formula1>
    </dataValidation>
    <dataValidation type="list" allowBlank="1" showInputMessage="1" showErrorMessage="1" sqref="D30">
      <formula1>"On a local hard drive,Printed form,Corporate intranet"</formula1>
    </dataValidation>
    <dataValidation type="list" allowBlank="1" showInputMessage="1" showErrorMessage="1" sqref="D49">
      <formula1>"Above 10 per cent,5 to 9 per cent,0 to 4 per cent"</formula1>
    </dataValidation>
    <dataValidation type="list" allowBlank="1" showInputMessage="1" showErrorMessage="1" sqref="D41">
      <formula1>"No one,Corporate HR,IT HR"</formula1>
    </dataValidation>
    <dataValidation type="list" allowBlank="1" showInputMessage="1" showErrorMessage="1" sqref="D44">
      <formula1>"No one,Direct superior,Dedicated IT career manager"</formula1>
    </dataValidation>
    <dataValidation type="list" allowBlank="1" showInputMessage="1" showErrorMessage="1" sqref="D48">
      <formula1>"Below,Same,Above"</formula1>
    </dataValidation>
    <dataValidation type="list" allowBlank="1" showInputMessage="1" showErrorMessage="1" sqref="D28">
      <formula1>"Never updated,Occasionally updated,Once every year,Once every 6 months,Once per quarter"</formula1>
    </dataValidation>
    <dataValidation type="list" allowBlank="1" showInputMessage="1" showErrorMessage="1" sqref="D46:D47">
      <formula1>"Never,Occasionally,Once every year,Once every 6 months,Once per quarter"</formula1>
    </dataValidation>
  </dataValidations>
  <printOptions/>
  <pageMargins left="0.75" right="0.75" top="1" bottom="1" header="0.5" footer="0.5"/>
  <pageSetup fitToHeight="1" fitToWidth="1" horizontalDpi="600" verticalDpi="600" orientation="landscape" scale="3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B1:E21"/>
  <sheetViews>
    <sheetView workbookViewId="0" topLeftCell="A1">
      <selection activeCell="A1" sqref="A1"/>
    </sheetView>
  </sheetViews>
  <sheetFormatPr defaultColWidth="9.140625" defaultRowHeight="12.75"/>
  <cols>
    <col min="1" max="1" width="2.7109375" style="0" customWidth="1"/>
    <col min="2" max="2" width="25.7109375" style="0" customWidth="1"/>
    <col min="3" max="3" width="50.8515625" style="0" customWidth="1"/>
    <col min="4" max="4" width="90.8515625" style="0" customWidth="1"/>
  </cols>
  <sheetData>
    <row r="1" spans="2:4" ht="26.25">
      <c r="B1" s="77" t="s">
        <v>288</v>
      </c>
      <c r="C1" s="77"/>
      <c r="D1" s="77"/>
    </row>
    <row r="2" spans="2:5" ht="33.75">
      <c r="B2" s="85" t="s">
        <v>53</v>
      </c>
      <c r="C2" s="85"/>
      <c r="D2" s="85"/>
      <c r="E2" s="41"/>
    </row>
    <row r="3" spans="2:5" ht="8.25" customHeight="1">
      <c r="B3" s="49"/>
      <c r="C3" s="49"/>
      <c r="D3" s="49"/>
      <c r="E3" s="40"/>
    </row>
    <row r="4" spans="2:5" ht="33.75" customHeight="1">
      <c r="B4" s="86" t="s">
        <v>114</v>
      </c>
      <c r="C4" s="86"/>
      <c r="D4" s="86"/>
      <c r="E4" s="40"/>
    </row>
    <row r="5" spans="2:5" ht="33.75" customHeight="1">
      <c r="B5" s="84" t="s">
        <v>115</v>
      </c>
      <c r="C5" s="84"/>
      <c r="D5" s="84"/>
      <c r="E5" s="40"/>
    </row>
    <row r="6" spans="2:5" ht="33.75" customHeight="1">
      <c r="B6" s="84" t="s">
        <v>491</v>
      </c>
      <c r="C6" s="84"/>
      <c r="D6" s="84"/>
      <c r="E6" s="40"/>
    </row>
    <row r="7" spans="2:5" ht="33.75" customHeight="1">
      <c r="B7" s="84" t="s">
        <v>492</v>
      </c>
      <c r="C7" s="84"/>
      <c r="D7" s="84"/>
      <c r="E7" s="40"/>
    </row>
    <row r="8" spans="2:5" ht="12.75">
      <c r="B8" s="49"/>
      <c r="C8" s="49"/>
      <c r="D8" s="49"/>
      <c r="E8" s="37"/>
    </row>
    <row r="9" spans="2:4" ht="18">
      <c r="B9" s="42" t="s">
        <v>55</v>
      </c>
      <c r="C9" s="42" t="s">
        <v>56</v>
      </c>
      <c r="D9" s="42" t="s">
        <v>61</v>
      </c>
    </row>
    <row r="10" spans="2:4" ht="76.5">
      <c r="B10" s="43">
        <v>0</v>
      </c>
      <c r="C10" s="48" t="s">
        <v>57</v>
      </c>
      <c r="D10" s="68" t="s">
        <v>62</v>
      </c>
    </row>
    <row r="11" spans="2:4" ht="76.5" customHeight="1">
      <c r="B11" s="44">
        <v>1</v>
      </c>
      <c r="C11" s="48" t="s">
        <v>60</v>
      </c>
      <c r="D11" s="68" t="s">
        <v>63</v>
      </c>
    </row>
    <row r="12" spans="2:4" ht="76.5" customHeight="1">
      <c r="B12" s="45">
        <v>2</v>
      </c>
      <c r="C12" s="48" t="s">
        <v>54</v>
      </c>
      <c r="D12" s="68" t="s">
        <v>64</v>
      </c>
    </row>
    <row r="13" spans="2:4" ht="76.5" customHeight="1">
      <c r="B13" s="46">
        <v>3</v>
      </c>
      <c r="C13" s="48" t="s">
        <v>58</v>
      </c>
      <c r="D13" s="68" t="s">
        <v>59</v>
      </c>
    </row>
    <row r="14" spans="2:4" ht="76.5" customHeight="1">
      <c r="B14" s="47">
        <v>4</v>
      </c>
      <c r="C14" s="48" t="s">
        <v>70</v>
      </c>
      <c r="D14" s="68" t="s">
        <v>76</v>
      </c>
    </row>
    <row r="16" spans="2:4" ht="18">
      <c r="B16" s="42" t="s">
        <v>55</v>
      </c>
      <c r="C16" s="42" t="s">
        <v>490</v>
      </c>
      <c r="D16" s="42" t="s">
        <v>61</v>
      </c>
    </row>
    <row r="17" spans="2:4" ht="48" customHeight="1">
      <c r="B17" s="47" t="s">
        <v>121</v>
      </c>
      <c r="C17" s="48" t="s">
        <v>71</v>
      </c>
      <c r="D17" s="68" t="s">
        <v>116</v>
      </c>
    </row>
    <row r="18" spans="2:4" ht="48" customHeight="1">
      <c r="B18" s="46" t="s">
        <v>122</v>
      </c>
      <c r="C18" s="48" t="s">
        <v>72</v>
      </c>
      <c r="D18" s="68" t="s">
        <v>117</v>
      </c>
    </row>
    <row r="19" spans="2:4" ht="48" customHeight="1">
      <c r="B19" s="45" t="s">
        <v>123</v>
      </c>
      <c r="C19" s="48" t="s">
        <v>73</v>
      </c>
      <c r="D19" s="68" t="s">
        <v>118</v>
      </c>
    </row>
    <row r="20" spans="2:4" ht="48" customHeight="1">
      <c r="B20" s="44" t="s">
        <v>124</v>
      </c>
      <c r="C20" s="48" t="s">
        <v>74</v>
      </c>
      <c r="D20" s="68" t="s">
        <v>119</v>
      </c>
    </row>
    <row r="21" spans="2:4" ht="48" customHeight="1">
      <c r="B21" s="43" t="s">
        <v>125</v>
      </c>
      <c r="C21" s="48" t="s">
        <v>75</v>
      </c>
      <c r="D21" s="68" t="s">
        <v>120</v>
      </c>
    </row>
  </sheetData>
  <sheetProtection formatCells="0"/>
  <mergeCells count="6">
    <mergeCell ref="B1:D1"/>
    <mergeCell ref="B7:D7"/>
    <mergeCell ref="B2:D2"/>
    <mergeCell ref="B4:D4"/>
    <mergeCell ref="B5:D5"/>
    <mergeCell ref="B6:D6"/>
  </mergeCells>
  <printOptions/>
  <pageMargins left="0.75" right="0.75" top="1" bottom="1" header="0.5" footer="0.5"/>
  <pageSetup fitToHeight="1" fitToWidth="1" horizontalDpi="600" verticalDpi="600" orientation="landscape" scale="5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1:M15"/>
  <sheetViews>
    <sheetView workbookViewId="0" topLeftCell="A1">
      <selection activeCell="A1" sqref="A1"/>
    </sheetView>
  </sheetViews>
  <sheetFormatPr defaultColWidth="9.140625" defaultRowHeight="12.75"/>
  <cols>
    <col min="2" max="2" width="14.57421875" style="0" customWidth="1"/>
    <col min="3" max="3" width="17.140625" style="0" customWidth="1"/>
    <col min="4" max="4" width="19.57421875" style="0" customWidth="1"/>
    <col min="5" max="5" width="20.421875" style="0" customWidth="1"/>
    <col min="6" max="6" width="15.421875" style="0" customWidth="1"/>
  </cols>
  <sheetData>
    <row r="1" spans="2:13" ht="26.25" customHeight="1">
      <c r="B1" s="77" t="s">
        <v>288</v>
      </c>
      <c r="C1" s="77"/>
      <c r="D1" s="77"/>
      <c r="E1" s="77"/>
      <c r="F1" s="77"/>
      <c r="G1" s="77"/>
      <c r="H1" s="77"/>
      <c r="I1" s="77"/>
      <c r="J1" s="77"/>
      <c r="K1" s="77"/>
      <c r="L1" s="77"/>
      <c r="M1" s="77"/>
    </row>
    <row r="2" spans="2:13" ht="33.75" customHeight="1">
      <c r="B2" s="87" t="s">
        <v>77</v>
      </c>
      <c r="C2" s="87"/>
      <c r="D2" s="87"/>
      <c r="E2" s="87"/>
      <c r="F2" s="87"/>
      <c r="G2" s="87"/>
      <c r="H2" s="87"/>
      <c r="I2" s="87"/>
      <c r="J2" s="87"/>
      <c r="K2" s="87"/>
      <c r="L2" s="87"/>
      <c r="M2" s="87"/>
    </row>
    <row r="5" spans="2:10" ht="47.25">
      <c r="B5" s="60"/>
      <c r="C5" s="61" t="s">
        <v>51</v>
      </c>
      <c r="D5" s="62" t="s">
        <v>52</v>
      </c>
      <c r="E5" s="62" t="s">
        <v>490</v>
      </c>
      <c r="F5" s="39"/>
      <c r="J5" s="14"/>
    </row>
    <row r="6" spans="2:5" ht="15.75">
      <c r="B6" s="63" t="s">
        <v>185</v>
      </c>
      <c r="C6" s="64" t="e">
        <f>'A - Clients'!B7</f>
        <v>#DIV/0!</v>
      </c>
      <c r="D6" s="66">
        <f>Weightings!D12</f>
        <v>0</v>
      </c>
      <c r="E6" s="67" t="e">
        <f>((4-C6)*D6)*100</f>
        <v>#DIV/0!</v>
      </c>
    </row>
    <row r="7" spans="2:5" ht="15.75">
      <c r="B7" s="63" t="s">
        <v>186</v>
      </c>
      <c r="C7" s="64" t="e">
        <f>'B - Network'!B7</f>
        <v>#DIV/0!</v>
      </c>
      <c r="D7" s="66">
        <f>Weightings!D13</f>
        <v>0</v>
      </c>
      <c r="E7" s="67" t="e">
        <f aca="true" t="shared" si="0" ref="E7:E15">((4-C7)*D7)*100</f>
        <v>#DIV/0!</v>
      </c>
    </row>
    <row r="8" spans="2:5" ht="15.75">
      <c r="B8" s="63" t="s">
        <v>187</v>
      </c>
      <c r="C8" s="64" t="e">
        <f>'C - Storage'!B7</f>
        <v>#DIV/0!</v>
      </c>
      <c r="D8" s="66">
        <f>Weightings!D14</f>
        <v>0</v>
      </c>
      <c r="E8" s="67" t="e">
        <f t="shared" si="0"/>
        <v>#DIV/0!</v>
      </c>
    </row>
    <row r="9" spans="2:5" ht="15.75">
      <c r="B9" s="63" t="s">
        <v>188</v>
      </c>
      <c r="C9" s="64" t="e">
        <f>'D - Telephony'!B7</f>
        <v>#DIV/0!</v>
      </c>
      <c r="D9" s="66">
        <f>Weightings!D15</f>
        <v>0</v>
      </c>
      <c r="E9" s="67" t="e">
        <f t="shared" si="0"/>
        <v>#DIV/0!</v>
      </c>
    </row>
    <row r="10" spans="2:5" ht="15.75">
      <c r="B10" s="63" t="s">
        <v>190</v>
      </c>
      <c r="C10" s="64" t="e">
        <f>'E - Software'!B7</f>
        <v>#DIV/0!</v>
      </c>
      <c r="D10" s="66">
        <f>Weightings!D16</f>
        <v>0</v>
      </c>
      <c r="E10" s="67" t="e">
        <f t="shared" si="0"/>
        <v>#DIV/0!</v>
      </c>
    </row>
    <row r="11" spans="2:5" ht="15.75">
      <c r="B11" s="63" t="s">
        <v>191</v>
      </c>
      <c r="C11" s="64" t="e">
        <f>'F - Data'!B7</f>
        <v>#DIV/0!</v>
      </c>
      <c r="D11" s="66">
        <f>Weightings!D17</f>
        <v>0</v>
      </c>
      <c r="E11" s="67" t="e">
        <f t="shared" si="0"/>
        <v>#DIV/0!</v>
      </c>
    </row>
    <row r="12" spans="2:5" ht="15.75">
      <c r="B12" s="63" t="s">
        <v>192</v>
      </c>
      <c r="C12" s="64" t="e">
        <f>'G - Security'!B7</f>
        <v>#DIV/0!</v>
      </c>
      <c r="D12" s="66">
        <f>Weightings!D18</f>
        <v>0</v>
      </c>
      <c r="E12" s="67" t="e">
        <f t="shared" si="0"/>
        <v>#DIV/0!</v>
      </c>
    </row>
    <row r="13" spans="2:5" ht="15.75">
      <c r="B13" s="63" t="s">
        <v>193</v>
      </c>
      <c r="C13" s="64" t="e">
        <f>'H - Change'!B7</f>
        <v>#DIV/0!</v>
      </c>
      <c r="D13" s="66">
        <f>Weightings!D19</f>
        <v>0</v>
      </c>
      <c r="E13" s="67" t="e">
        <f t="shared" si="0"/>
        <v>#DIV/0!</v>
      </c>
    </row>
    <row r="14" spans="2:5" ht="15.75">
      <c r="B14" s="63" t="s">
        <v>194</v>
      </c>
      <c r="C14" s="64" t="e">
        <f>'I - PM'!B7</f>
        <v>#DIV/0!</v>
      </c>
      <c r="D14" s="66">
        <f>Weightings!D20</f>
        <v>0</v>
      </c>
      <c r="E14" s="67" t="e">
        <f t="shared" si="0"/>
        <v>#DIV/0!</v>
      </c>
    </row>
    <row r="15" spans="2:5" ht="15.75">
      <c r="B15" s="63" t="s">
        <v>195</v>
      </c>
      <c r="C15" s="64" t="e">
        <f>'J - IT Admin'!B7</f>
        <v>#DIV/0!</v>
      </c>
      <c r="D15" s="66">
        <f>Weightings!D21</f>
        <v>0</v>
      </c>
      <c r="E15" s="67" t="e">
        <f t="shared" si="0"/>
        <v>#DIV/0!</v>
      </c>
    </row>
  </sheetData>
  <sheetProtection formatCells="0"/>
  <mergeCells count="2">
    <mergeCell ref="B1:M1"/>
    <mergeCell ref="B2:M2"/>
  </mergeCells>
  <conditionalFormatting sqref="C6:C15">
    <cfRule type="expression" priority="1" dxfId="2" stopIfTrue="1">
      <formula>ISERROR(C6)</formula>
    </cfRule>
  </conditionalFormatting>
  <conditionalFormatting sqref="E6:E15">
    <cfRule type="expression" priority="2" dxfId="2" stopIfTrue="1">
      <formula>ISERROR(E6)</formula>
    </cfRule>
    <cfRule type="cellIs" priority="3" dxfId="3" operator="between" stopIfTrue="1">
      <formula>50</formula>
      <formula>100</formula>
    </cfRule>
    <cfRule type="cellIs" priority="4" dxfId="1" operator="greaterThanOrEqual" stopIfTrue="1">
      <formula>100</formula>
    </cfRule>
  </conditionalFormatting>
  <conditionalFormatting sqref="D6:D15">
    <cfRule type="cellIs" priority="5" dxfId="1" operator="greaterThanOrEqual" stopIfTrue="1">
      <formula>5000</formula>
    </cfRule>
  </conditionalFormatting>
  <printOptions/>
  <pageMargins left="0.75" right="0.75" top="1" bottom="1" header="0.5" footer="0.5"/>
  <pageSetup fitToHeight="1" fitToWidth="1" horizontalDpi="600" verticalDpi="600" orientation="landscape"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H26"/>
  <sheetViews>
    <sheetView zoomScale="80" zoomScaleNormal="80" workbookViewId="0" topLeftCell="A1">
      <selection activeCell="A1" sqref="A1"/>
    </sheetView>
  </sheetViews>
  <sheetFormatPr defaultColWidth="9.140625" defaultRowHeight="12.75"/>
  <cols>
    <col min="1" max="1" width="2.7109375" style="0" customWidth="1"/>
    <col min="3" max="3" width="23.140625" style="0" customWidth="1"/>
    <col min="6" max="6" width="11.28125" style="0" customWidth="1"/>
    <col min="8" max="8" width="30.28125" style="0" customWidth="1"/>
  </cols>
  <sheetData>
    <row r="2" spans="2:8" ht="33.75">
      <c r="B2" s="70" t="s">
        <v>99</v>
      </c>
      <c r="C2" s="70"/>
      <c r="D2" s="70"/>
      <c r="E2" s="70"/>
      <c r="F2" s="70"/>
      <c r="G2" s="70"/>
      <c r="H2" s="70"/>
    </row>
    <row r="3" spans="2:8" ht="33.75" customHeight="1">
      <c r="B3" s="72" t="s">
        <v>65</v>
      </c>
      <c r="C3" s="72"/>
      <c r="D3" s="72"/>
      <c r="E3" s="72"/>
      <c r="F3" s="72"/>
      <c r="G3" s="72"/>
      <c r="H3" s="72"/>
    </row>
    <row r="4" spans="2:8" ht="10.5" customHeight="1">
      <c r="B4" s="17"/>
      <c r="C4" s="17"/>
      <c r="D4" s="17"/>
      <c r="E4" s="17"/>
      <c r="F4" s="17"/>
      <c r="G4" s="17"/>
      <c r="H4" s="17"/>
    </row>
    <row r="5" spans="2:8" ht="135" customHeight="1">
      <c r="B5" s="71" t="s">
        <v>493</v>
      </c>
      <c r="C5" s="71"/>
      <c r="D5" s="71"/>
      <c r="E5" s="71"/>
      <c r="F5" s="71"/>
      <c r="G5" s="71"/>
      <c r="H5" s="71"/>
    </row>
    <row r="6" spans="2:8" ht="9" customHeight="1">
      <c r="B6" s="73"/>
      <c r="C6" s="73"/>
      <c r="D6" s="73"/>
      <c r="E6" s="73"/>
      <c r="F6" s="73"/>
      <c r="G6" s="73"/>
      <c r="H6" s="73"/>
    </row>
    <row r="7" ht="9" customHeight="1"/>
    <row r="8" spans="2:8" ht="15.75">
      <c r="B8" s="26"/>
      <c r="C8" s="26"/>
      <c r="D8" s="27" t="s">
        <v>196</v>
      </c>
      <c r="E8" s="26"/>
      <c r="F8" s="26"/>
      <c r="G8" s="26"/>
      <c r="H8" s="26"/>
    </row>
    <row r="9" spans="2:8" ht="12" customHeight="1">
      <c r="B9" s="18"/>
      <c r="C9" s="18"/>
      <c r="D9" s="25"/>
      <c r="E9" s="18"/>
      <c r="F9" s="18"/>
      <c r="G9" s="18"/>
      <c r="H9" s="18"/>
    </row>
    <row r="10" spans="2:8" ht="12.75">
      <c r="B10" s="69" t="s">
        <v>494</v>
      </c>
      <c r="C10" s="69"/>
      <c r="D10" s="69"/>
      <c r="E10" s="69"/>
      <c r="F10" s="69"/>
      <c r="G10" s="69"/>
      <c r="H10" s="69"/>
    </row>
    <row r="11" spans="2:8" ht="15.75">
      <c r="B11" s="18"/>
      <c r="C11" s="18"/>
      <c r="D11" s="19"/>
      <c r="E11" s="18"/>
      <c r="F11" s="18"/>
      <c r="G11" s="18"/>
      <c r="H11" s="18"/>
    </row>
    <row r="12" spans="2:8" ht="12.75">
      <c r="B12" s="23" t="s">
        <v>198</v>
      </c>
      <c r="C12" s="20" t="s">
        <v>185</v>
      </c>
      <c r="D12" s="65"/>
      <c r="E12" s="18"/>
      <c r="F12" s="18"/>
      <c r="G12" s="18"/>
      <c r="H12" s="18"/>
    </row>
    <row r="13" spans="2:8" ht="12.75">
      <c r="B13" s="23" t="s">
        <v>199</v>
      </c>
      <c r="C13" s="20" t="s">
        <v>186</v>
      </c>
      <c r="D13" s="65"/>
      <c r="E13" s="18"/>
      <c r="F13" s="18"/>
      <c r="G13" s="18"/>
      <c r="H13" s="18"/>
    </row>
    <row r="14" spans="2:8" ht="12.75">
      <c r="B14" s="23" t="s">
        <v>200</v>
      </c>
      <c r="C14" s="20" t="s">
        <v>187</v>
      </c>
      <c r="D14" s="65"/>
      <c r="E14" s="18"/>
      <c r="F14" s="18"/>
      <c r="G14" s="18"/>
      <c r="H14" s="18"/>
    </row>
    <row r="15" spans="2:8" ht="12.75">
      <c r="B15" s="23" t="s">
        <v>201</v>
      </c>
      <c r="C15" s="20" t="s">
        <v>188</v>
      </c>
      <c r="D15" s="65"/>
      <c r="E15" s="18"/>
      <c r="F15" s="18"/>
      <c r="G15" s="18"/>
      <c r="H15" s="18"/>
    </row>
    <row r="16" spans="2:8" ht="12.75">
      <c r="B16" s="23" t="s">
        <v>202</v>
      </c>
      <c r="C16" s="20" t="s">
        <v>190</v>
      </c>
      <c r="D16" s="65"/>
      <c r="E16" s="18"/>
      <c r="F16" s="18"/>
      <c r="G16" s="18"/>
      <c r="H16" s="18"/>
    </row>
    <row r="17" spans="2:8" ht="12.75">
      <c r="B17" s="23" t="s">
        <v>203</v>
      </c>
      <c r="C17" s="20" t="s">
        <v>191</v>
      </c>
      <c r="D17" s="65"/>
      <c r="E17" s="18"/>
      <c r="F17" s="18"/>
      <c r="G17" s="18"/>
      <c r="H17" s="18"/>
    </row>
    <row r="18" spans="2:8" ht="12.75">
      <c r="B18" s="23" t="s">
        <v>204</v>
      </c>
      <c r="C18" s="20" t="s">
        <v>192</v>
      </c>
      <c r="D18" s="65"/>
      <c r="E18" s="18"/>
      <c r="F18" s="18"/>
      <c r="G18" s="18"/>
      <c r="H18" s="18"/>
    </row>
    <row r="19" spans="2:8" ht="12.75">
      <c r="B19" s="23" t="s">
        <v>205</v>
      </c>
      <c r="C19" s="20" t="s">
        <v>193</v>
      </c>
      <c r="D19" s="65"/>
      <c r="E19" s="18"/>
      <c r="F19" s="18"/>
      <c r="G19" s="18"/>
      <c r="H19" s="18"/>
    </row>
    <row r="20" spans="2:8" ht="12.75">
      <c r="B20" s="23" t="s">
        <v>206</v>
      </c>
      <c r="C20" s="20" t="s">
        <v>197</v>
      </c>
      <c r="D20" s="65"/>
      <c r="E20" s="18"/>
      <c r="F20" s="18"/>
      <c r="G20" s="18"/>
      <c r="H20" s="18"/>
    </row>
    <row r="21" spans="2:8" ht="12.75">
      <c r="B21" s="23" t="s">
        <v>207</v>
      </c>
      <c r="C21" s="20" t="s">
        <v>208</v>
      </c>
      <c r="D21" s="65"/>
      <c r="E21" s="18"/>
      <c r="F21" s="18"/>
      <c r="G21" s="18"/>
      <c r="H21" s="18"/>
    </row>
    <row r="22" spans="2:8" ht="15.75">
      <c r="B22" s="24"/>
      <c r="C22" s="19" t="s">
        <v>189</v>
      </c>
      <c r="D22" s="21">
        <f>SUM(D12:D21)</f>
        <v>0</v>
      </c>
      <c r="E22" s="18"/>
      <c r="F22" s="18"/>
      <c r="G22" s="18"/>
      <c r="H22" s="18"/>
    </row>
    <row r="23" spans="2:8" ht="12.75">
      <c r="B23" s="18"/>
      <c r="C23" s="18"/>
      <c r="D23" s="22"/>
      <c r="E23" s="18"/>
      <c r="F23" s="18"/>
      <c r="G23" s="18"/>
      <c r="H23" s="18"/>
    </row>
    <row r="24" spans="2:8" ht="12.75">
      <c r="B24" s="18"/>
      <c r="C24" s="18"/>
      <c r="D24" s="18"/>
      <c r="E24" s="18"/>
      <c r="F24" s="18"/>
      <c r="G24" s="18"/>
      <c r="H24" s="18"/>
    </row>
    <row r="26" ht="22.5">
      <c r="D26" s="58" t="str">
        <f>IF(D22&gt;1,"Weightings must not exceed 100%"," ")</f>
        <v> </v>
      </c>
    </row>
  </sheetData>
  <mergeCells count="5">
    <mergeCell ref="B10:H10"/>
    <mergeCell ref="B2:H2"/>
    <mergeCell ref="B5:H5"/>
    <mergeCell ref="B3:H3"/>
    <mergeCell ref="B6:H6"/>
  </mergeCells>
  <conditionalFormatting sqref="D26">
    <cfRule type="cellIs" priority="1" dxfId="0" operator="equal" stopIfTrue="1">
      <formula>0</formula>
    </cfRule>
    <cfRule type="cellIs" priority="2" dxfId="1" operator="greaterThan" stopIfTrue="1">
      <formula>1</formula>
    </cfRule>
  </conditionalFormatting>
  <dataValidations count="1">
    <dataValidation type="decimal" allowBlank="1" showInputMessage="1" showErrorMessage="1" sqref="D12:D21">
      <formula1>0</formula1>
      <formula2>1</formula2>
    </dataValidation>
  </dataValidations>
  <printOptions/>
  <pageMargins left="0.75" right="0.75" top="1" bottom="1" header="0.5" footer="0.5"/>
  <pageSetup fitToHeight="1" fitToWidth="1" horizontalDpi="600" verticalDpi="6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50"/>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68.7109375" style="0" hidden="1" customWidth="1"/>
  </cols>
  <sheetData>
    <row r="2" spans="3:5" ht="33.75" customHeight="1">
      <c r="C2" s="70" t="s">
        <v>463</v>
      </c>
      <c r="D2" s="70"/>
      <c r="E2" s="70"/>
    </row>
    <row r="3" spans="3:5" ht="26.25" customHeight="1">
      <c r="C3" s="77" t="s">
        <v>288</v>
      </c>
      <c r="D3" s="77"/>
      <c r="E3" s="77"/>
    </row>
    <row r="4" spans="3:5" ht="26.25">
      <c r="C4" s="78" t="s">
        <v>482</v>
      </c>
      <c r="D4" s="78"/>
      <c r="E4" s="78"/>
    </row>
    <row r="5" ht="9" customHeight="1"/>
    <row r="6" spans="1:2" ht="12.75">
      <c r="A6" s="28" t="s">
        <v>212</v>
      </c>
      <c r="B6" s="29"/>
    </row>
    <row r="7" spans="1:2" ht="41.25" customHeight="1">
      <c r="A7" s="30" t="s">
        <v>211</v>
      </c>
      <c r="B7" s="32" t="e">
        <f>AVERAGE(B13:B21,B27:B34)</f>
        <v>#DIV/0!</v>
      </c>
    </row>
    <row r="8" spans="1:2" ht="27.75" customHeight="1">
      <c r="A8" s="30" t="s">
        <v>209</v>
      </c>
      <c r="B8" s="31">
        <f>Weightings!D12</f>
        <v>0</v>
      </c>
    </row>
    <row r="9" ht="9" customHeight="1"/>
    <row r="10" spans="1:5" ht="23.25">
      <c r="A10" s="74" t="s">
        <v>483</v>
      </c>
      <c r="B10" s="74"/>
      <c r="C10" s="74"/>
      <c r="D10" s="74"/>
      <c r="E10" s="74"/>
    </row>
    <row r="11" ht="14.25">
      <c r="A11" s="6" t="s">
        <v>470</v>
      </c>
    </row>
    <row r="12" spans="1:5" ht="15">
      <c r="A12" s="8" t="s">
        <v>465</v>
      </c>
      <c r="B12" s="9" t="s">
        <v>466</v>
      </c>
      <c r="C12" s="8" t="s">
        <v>467</v>
      </c>
      <c r="D12" s="8" t="s">
        <v>468</v>
      </c>
      <c r="E12" s="10" t="s">
        <v>469</v>
      </c>
    </row>
    <row r="13" spans="1:6" ht="30" customHeight="1">
      <c r="A13" s="1">
        <v>1.1</v>
      </c>
      <c r="B13" s="35">
        <f>IF(D13="No management at all",0,IF(D13="Informal tracking",2,IF(D13="Formal tracking in place",4,"")))</f>
      </c>
      <c r="C13" s="2" t="s">
        <v>323</v>
      </c>
      <c r="D13" s="33"/>
      <c r="E13" s="3">
        <f>IF(D13="No management at all",F13,"")</f>
      </c>
      <c r="F13" s="12" t="s">
        <v>29</v>
      </c>
    </row>
    <row r="14" spans="1:6" ht="30" customHeight="1">
      <c r="A14" s="1">
        <v>1.2</v>
      </c>
      <c r="B14" s="35">
        <f>IF(D14="No",0,IF(D14="Planning To",2,IF(D14="Yes",4,"")))</f>
      </c>
      <c r="C14" s="2" t="s">
        <v>324</v>
      </c>
      <c r="D14" s="33"/>
      <c r="E14" s="3">
        <f aca="true" t="shared" si="0" ref="E14:E21">IF(D14="No",F14,"")</f>
      </c>
      <c r="F14" s="12" t="s">
        <v>294</v>
      </c>
    </row>
    <row r="15" spans="1:6" ht="30" customHeight="1">
      <c r="A15" s="1">
        <v>1.3</v>
      </c>
      <c r="B15" s="35">
        <f>IF(D15="0-20%",0,IF(D15="21-40%",1,IF(D15="41-60%",2,IF(D15="61-80%",3,IF(D15="81-100%",4,"")))))</f>
      </c>
      <c r="C15" s="2" t="s">
        <v>325</v>
      </c>
      <c r="D15" s="33"/>
      <c r="E15" s="3">
        <f>IF(D15="0-20%",F15,"")</f>
      </c>
      <c r="F15" s="12" t="s">
        <v>30</v>
      </c>
    </row>
    <row r="16" spans="1:6" ht="30" customHeight="1">
      <c r="A16" s="1">
        <v>1.4</v>
      </c>
      <c r="B16" s="35">
        <f>IF(D16="No",0,IF(D16="Planning To",2,IF(D16="Yes",4,"")))</f>
      </c>
      <c r="C16" s="2" t="s">
        <v>326</v>
      </c>
      <c r="D16" s="33"/>
      <c r="E16" s="3">
        <f t="shared" si="0"/>
      </c>
      <c r="F16" s="12" t="s">
        <v>31</v>
      </c>
    </row>
    <row r="17" spans="1:6" ht="30" customHeight="1">
      <c r="A17" s="1">
        <v>1.5</v>
      </c>
      <c r="B17" s="35">
        <f>IF(D17="Not used at all",0,IF(D17="Informally distributed within team - no followup",1,IF(D17="Shared with immediate leadership",2,IF(D17="Used for day-to-day planning",3,IF(D17="Used for long-term planning",4,"")))))</f>
      </c>
      <c r="C17" s="2" t="s">
        <v>327</v>
      </c>
      <c r="D17" s="33"/>
      <c r="E17" s="3">
        <f>IF(D17="Not used at all",F17,"")</f>
      </c>
      <c r="F17" s="12" t="s">
        <v>32</v>
      </c>
    </row>
    <row r="18" spans="1:6" ht="30" customHeight="1">
      <c r="A18" s="1">
        <v>1.6</v>
      </c>
      <c r="B18" s="35">
        <f>IF(D18="No",0,IF(D18="Planning To",2,IF(D18="Yes",4,"")))</f>
      </c>
      <c r="C18" s="2" t="s">
        <v>328</v>
      </c>
      <c r="D18" s="33"/>
      <c r="E18" s="3">
        <f t="shared" si="0"/>
      </c>
      <c r="F18" s="12" t="s">
        <v>33</v>
      </c>
    </row>
    <row r="19" spans="1:6" ht="30" customHeight="1">
      <c r="A19" s="1">
        <v>1.7</v>
      </c>
      <c r="B19" s="35">
        <f>IF(D19="No",0,IF(D19="Planning To",2,IF(D19="Yes",4,"")))</f>
      </c>
      <c r="C19" s="2" t="s">
        <v>329</v>
      </c>
      <c r="D19" s="33"/>
      <c r="E19" s="3">
        <f t="shared" si="0"/>
      </c>
      <c r="F19" s="12" t="s">
        <v>34</v>
      </c>
    </row>
    <row r="20" spans="1:6" ht="30" customHeight="1">
      <c r="A20" s="1">
        <v>1.8</v>
      </c>
      <c r="B20" s="35">
        <f>IF(D20="No",0,IF(D20="Planning To",2,IF(D20="Yes",4,"")))</f>
      </c>
      <c r="C20" s="2" t="s">
        <v>330</v>
      </c>
      <c r="D20" s="33"/>
      <c r="E20" s="3">
        <f t="shared" si="0"/>
      </c>
      <c r="F20" s="12" t="s">
        <v>78</v>
      </c>
    </row>
    <row r="21" spans="1:6" ht="30" customHeight="1">
      <c r="A21" s="53">
        <v>1.9</v>
      </c>
      <c r="B21" s="54">
        <f>IF(D21="No",0,IF(D21="Planning To",2,IF(D21="Yes",4,"")))</f>
      </c>
      <c r="C21" s="2" t="s">
        <v>331</v>
      </c>
      <c r="D21" s="33"/>
      <c r="E21" s="3">
        <f t="shared" si="0"/>
      </c>
      <c r="F21" s="12" t="s">
        <v>79</v>
      </c>
    </row>
    <row r="22" spans="1:6" ht="30">
      <c r="A22" s="55" t="s">
        <v>210</v>
      </c>
      <c r="B22" s="56" t="e">
        <f>AVERAGE(B13:B21)</f>
        <v>#DIV/0!</v>
      </c>
      <c r="C22" s="75"/>
      <c r="D22" s="76"/>
      <c r="E22" s="76"/>
      <c r="F22" s="12"/>
    </row>
    <row r="23" ht="12.75">
      <c r="F23" s="12"/>
    </row>
    <row r="24" spans="1:6" ht="23.25">
      <c r="A24" s="74" t="s">
        <v>480</v>
      </c>
      <c r="B24" s="74"/>
      <c r="C24" s="74"/>
      <c r="D24" s="74"/>
      <c r="E24" s="74"/>
      <c r="F24" s="12"/>
    </row>
    <row r="25" spans="1:6" ht="14.25">
      <c r="A25" s="6" t="s">
        <v>481</v>
      </c>
      <c r="F25" s="12"/>
    </row>
    <row r="26" spans="1:6" ht="14.25" customHeight="1">
      <c r="A26" s="8" t="s">
        <v>465</v>
      </c>
      <c r="B26" s="9" t="s">
        <v>466</v>
      </c>
      <c r="C26" s="8" t="s">
        <v>467</v>
      </c>
      <c r="D26" s="8" t="s">
        <v>468</v>
      </c>
      <c r="E26" s="10" t="s">
        <v>469</v>
      </c>
      <c r="F26" s="12"/>
    </row>
    <row r="27" spans="1:6" ht="29.25" customHeight="1">
      <c r="A27" s="1">
        <v>2.1</v>
      </c>
      <c r="B27" s="35">
        <f aca="true" t="shared" si="1" ref="B27:B32">IF(D27="No",0,IF(D27="Planning To",2,IF(D27="Yes",4,"")))</f>
      </c>
      <c r="C27" s="3" t="s">
        <v>332</v>
      </c>
      <c r="D27" s="33"/>
      <c r="E27" s="3">
        <f aca="true" t="shared" si="2" ref="E27:E34">IF(D27="No",F27,"")</f>
      </c>
      <c r="F27" s="12" t="s">
        <v>80</v>
      </c>
    </row>
    <row r="28" spans="1:6" ht="29.25" customHeight="1">
      <c r="A28" s="1">
        <v>2.2</v>
      </c>
      <c r="B28" s="35">
        <f t="shared" si="1"/>
      </c>
      <c r="C28" s="3" t="s">
        <v>292</v>
      </c>
      <c r="D28" s="33"/>
      <c r="E28" s="3">
        <f t="shared" si="2"/>
      </c>
      <c r="F28" s="12" t="s">
        <v>81</v>
      </c>
    </row>
    <row r="29" spans="1:6" ht="29.25" customHeight="1">
      <c r="A29" s="1">
        <v>2.3</v>
      </c>
      <c r="B29" s="35">
        <f t="shared" si="1"/>
      </c>
      <c r="C29" s="3" t="s">
        <v>333</v>
      </c>
      <c r="D29" s="33"/>
      <c r="E29" s="3">
        <f t="shared" si="2"/>
      </c>
      <c r="F29" s="12" t="s">
        <v>82</v>
      </c>
    </row>
    <row r="30" spans="1:6" ht="29.25" customHeight="1">
      <c r="A30" s="1">
        <v>2.4</v>
      </c>
      <c r="B30" s="35">
        <f t="shared" si="1"/>
      </c>
      <c r="C30" s="3" t="s">
        <v>334</v>
      </c>
      <c r="D30" s="33"/>
      <c r="E30" s="3">
        <f t="shared" si="2"/>
      </c>
      <c r="F30" s="12" t="s">
        <v>83</v>
      </c>
    </row>
    <row r="31" spans="1:6" ht="29.25" customHeight="1">
      <c r="A31" s="1">
        <v>2.5</v>
      </c>
      <c r="B31" s="35">
        <f t="shared" si="1"/>
      </c>
      <c r="C31" s="3" t="s">
        <v>335</v>
      </c>
      <c r="D31" s="33"/>
      <c r="E31" s="3">
        <f t="shared" si="2"/>
      </c>
      <c r="F31" s="12" t="s">
        <v>84</v>
      </c>
    </row>
    <row r="32" spans="1:6" ht="29.25" customHeight="1">
      <c r="A32" s="1">
        <v>2.6</v>
      </c>
      <c r="B32" s="35">
        <f t="shared" si="1"/>
      </c>
      <c r="C32" s="3" t="s">
        <v>293</v>
      </c>
      <c r="D32" s="33"/>
      <c r="E32" s="3">
        <f t="shared" si="2"/>
      </c>
      <c r="F32" s="12" t="s">
        <v>85</v>
      </c>
    </row>
    <row r="33" spans="1:6" ht="29.25" customHeight="1">
      <c r="A33" s="1">
        <v>2.7</v>
      </c>
      <c r="B33" s="35">
        <f>IF(D33="Simply buy and install",0,IF(D33="Research each case individually",2,IF(D33="Follow established process",4,"")))</f>
      </c>
      <c r="C33" s="3" t="s">
        <v>336</v>
      </c>
      <c r="D33" s="33"/>
      <c r="E33" s="3">
        <f>IF(D33="Simply buy and install",F33,"")</f>
      </c>
      <c r="F33" s="12" t="s">
        <v>87</v>
      </c>
    </row>
    <row r="34" spans="1:6" ht="29.25" customHeight="1">
      <c r="A34" s="53">
        <v>2.8</v>
      </c>
      <c r="B34" s="54">
        <f>IF(D34="No",0,IF(D34="Planning To",2,IF(D34="Yes",4,"")))</f>
      </c>
      <c r="C34" s="3" t="s">
        <v>337</v>
      </c>
      <c r="D34" s="33"/>
      <c r="E34" s="3">
        <f t="shared" si="2"/>
      </c>
      <c r="F34" s="12" t="s">
        <v>86</v>
      </c>
    </row>
    <row r="35" spans="1:6" ht="30">
      <c r="A35" s="55" t="s">
        <v>210</v>
      </c>
      <c r="B35" s="56" t="e">
        <f>AVERAGE(B27:B34)</f>
        <v>#DIV/0!</v>
      </c>
      <c r="C35" s="76"/>
      <c r="D35" s="76"/>
      <c r="E35" s="76"/>
      <c r="F35" s="12"/>
    </row>
    <row r="36" ht="12.75">
      <c r="F36" s="12"/>
    </row>
    <row r="37" ht="12.75">
      <c r="F37" s="12"/>
    </row>
    <row r="38" ht="12.75">
      <c r="F38" s="12"/>
    </row>
    <row r="39" ht="12.75">
      <c r="F39" s="12"/>
    </row>
    <row r="40" ht="12.75">
      <c r="F40" s="12"/>
    </row>
    <row r="41" ht="12.75">
      <c r="F41" s="12"/>
    </row>
    <row r="42" ht="12.75">
      <c r="F42" s="12"/>
    </row>
    <row r="43" ht="12.75">
      <c r="F43" s="12"/>
    </row>
    <row r="44" ht="12.75">
      <c r="F44" s="12"/>
    </row>
    <row r="45" ht="12.75">
      <c r="F45" s="12"/>
    </row>
    <row r="46" ht="12.75">
      <c r="F46" s="12"/>
    </row>
    <row r="47" ht="12.75">
      <c r="F47" s="12"/>
    </row>
    <row r="48" ht="12.75">
      <c r="F48" s="12"/>
    </row>
    <row r="49" ht="12.75">
      <c r="F49" s="12"/>
    </row>
    <row r="50" ht="12.75">
      <c r="F50" s="12"/>
    </row>
  </sheetData>
  <mergeCells count="7">
    <mergeCell ref="A24:E24"/>
    <mergeCell ref="C22:E22"/>
    <mergeCell ref="C35:E35"/>
    <mergeCell ref="C2:E2"/>
    <mergeCell ref="C3:E3"/>
    <mergeCell ref="C4:E4"/>
    <mergeCell ref="A10:E10"/>
  </mergeCells>
  <conditionalFormatting sqref="E26 E12">
    <cfRule type="cellIs" priority="1" dxfId="0" operator="equal" stopIfTrue="1">
      <formula>0</formula>
    </cfRule>
  </conditionalFormatting>
  <conditionalFormatting sqref="B7 B22 B35">
    <cfRule type="expression" priority="2" dxfId="2" stopIfTrue="1">
      <formula>ISERROR(B7)</formula>
    </cfRule>
  </conditionalFormatting>
  <dataValidations count="5">
    <dataValidation type="list" allowBlank="1" showInputMessage="1" showErrorMessage="1" sqref="D18:D21 D16 D27:D32 D34 D14">
      <formula1>"No,Planning to,Yes"</formula1>
    </dataValidation>
    <dataValidation type="list" allowBlank="1" showInputMessage="1" showErrorMessage="1" sqref="D13">
      <formula1>"No management at all,Informal tracking,Formal tracking in place"</formula1>
    </dataValidation>
    <dataValidation type="list" allowBlank="1" showInputMessage="1" showErrorMessage="1" sqref="D15">
      <formula1>"0-20%,21-40%,41-60%,61-80%,81-100%"</formula1>
    </dataValidation>
    <dataValidation type="list" allowBlank="1" showInputMessage="1" showErrorMessage="1" sqref="D17">
      <formula1>"Not used at all,Informally distributed within team - no followup,Shared with immediate leadership,Used for day-to-day planning,Used for long-term planning"</formula1>
    </dataValidation>
    <dataValidation type="list" allowBlank="1" showInputMessage="1" showErrorMessage="1" sqref="D33">
      <formula1>"Simply buy and install,Research each case individually,Follow established process"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F58"/>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68.7109375" style="0" hidden="1" customWidth="1"/>
  </cols>
  <sheetData>
    <row r="2" spans="3:5" ht="33.75" customHeight="1">
      <c r="C2" s="70" t="s">
        <v>463</v>
      </c>
      <c r="D2" s="70"/>
      <c r="E2" s="70"/>
    </row>
    <row r="3" spans="3:5" ht="26.25" customHeight="1">
      <c r="C3" s="77" t="s">
        <v>288</v>
      </c>
      <c r="D3" s="77"/>
      <c r="E3" s="77"/>
    </row>
    <row r="4" spans="3:5" ht="26.25">
      <c r="C4" s="78" t="s">
        <v>0</v>
      </c>
      <c r="D4" s="78"/>
      <c r="E4" s="78"/>
    </row>
    <row r="5" ht="9" customHeight="1"/>
    <row r="6" spans="1:2" ht="12.75">
      <c r="A6" s="28" t="s">
        <v>212</v>
      </c>
      <c r="B6" s="29"/>
    </row>
    <row r="7" spans="1:2" ht="41.25" customHeight="1">
      <c r="A7" s="30" t="s">
        <v>211</v>
      </c>
      <c r="B7" s="32" t="e">
        <f>AVERAGE(B13:B23,B29:B40,B46:B57)</f>
        <v>#DIV/0!</v>
      </c>
    </row>
    <row r="8" spans="1:2" ht="27.75" customHeight="1">
      <c r="A8" s="30" t="s">
        <v>209</v>
      </c>
      <c r="B8" s="31">
        <f>Weightings!D13</f>
        <v>0</v>
      </c>
    </row>
    <row r="9" ht="9" customHeight="1"/>
    <row r="10" spans="1:5" ht="23.25">
      <c r="A10" s="74" t="s">
        <v>484</v>
      </c>
      <c r="B10" s="74"/>
      <c r="C10" s="74"/>
      <c r="D10" s="74"/>
      <c r="E10" s="74"/>
    </row>
    <row r="11" ht="14.25">
      <c r="A11" s="6" t="s">
        <v>495</v>
      </c>
    </row>
    <row r="12" spans="1:5" ht="15">
      <c r="A12" s="8" t="s">
        <v>465</v>
      </c>
      <c r="B12" s="9" t="s">
        <v>466</v>
      </c>
      <c r="C12" s="8" t="s">
        <v>467</v>
      </c>
      <c r="D12" s="8" t="s">
        <v>468</v>
      </c>
      <c r="E12" s="10" t="s">
        <v>469</v>
      </c>
    </row>
    <row r="13" spans="1:6" ht="30" customHeight="1">
      <c r="A13" s="1">
        <v>3.1</v>
      </c>
      <c r="B13" s="35">
        <f>IF(D13="Yes",4,IF(D13="Planning To",2,IF(D13="No",0,"")))</f>
      </c>
      <c r="C13" s="2" t="s">
        <v>338</v>
      </c>
      <c r="D13" s="33"/>
      <c r="E13" s="3">
        <f>IF(D13="No",F13,"")</f>
      </c>
      <c r="F13" s="12" t="s">
        <v>88</v>
      </c>
    </row>
    <row r="14" spans="1:6" ht="30" customHeight="1">
      <c r="A14" s="1">
        <v>3.2</v>
      </c>
      <c r="B14" s="35">
        <f>IF(D14="Never updated",0,IF(D14="Occasionally updated",1,IF(D14="Once every year",2,IF(D14="Once every 6 months",3,IF(D14="Once per quarter",4,"")))))</f>
      </c>
      <c r="C14" s="2" t="s">
        <v>339</v>
      </c>
      <c r="D14" s="33"/>
      <c r="E14" s="3">
        <f>IF(D14="Never updated",F14,"")</f>
      </c>
      <c r="F14" s="12" t="s">
        <v>89</v>
      </c>
    </row>
    <row r="15" spans="1:6" ht="30" customHeight="1">
      <c r="A15" s="1">
        <v>3.3</v>
      </c>
      <c r="B15" s="35">
        <f>IF(D15="Whatever is available or cheapest",0,IF(D15="Informal research",2,IF(D15="Formal research",4,"")))</f>
      </c>
      <c r="C15" s="2" t="s">
        <v>340</v>
      </c>
      <c r="D15" s="33"/>
      <c r="E15" s="3">
        <f>IF(D15="Whatever is available or cheapest",F15,"")</f>
      </c>
      <c r="F15" s="12" t="s">
        <v>90</v>
      </c>
    </row>
    <row r="16" spans="1:6" ht="30" customHeight="1">
      <c r="A16" s="1">
        <v>3.4</v>
      </c>
      <c r="B16" s="35">
        <f>IF(D16="81-100%",0,IF(D16="61-80%",1,IF(D16="41-60%",2,IF(D16="21-40%",3,IF(D16="0-20%",4,"")))))</f>
      </c>
      <c r="C16" s="2" t="s">
        <v>408</v>
      </c>
      <c r="D16" s="33"/>
      <c r="E16" s="3">
        <f>IF(D16="81-100%",F16,"")</f>
      </c>
      <c r="F16" s="12" t="s">
        <v>91</v>
      </c>
    </row>
    <row r="17" spans="1:6" ht="30" customHeight="1">
      <c r="A17" s="1">
        <v>3.5</v>
      </c>
      <c r="B17" s="35">
        <f>IF(D17="1 to 4",0,IF(D17="5 to 9",2,IF(D17="10 or more",4,"")))</f>
      </c>
      <c r="C17" s="2" t="s">
        <v>341</v>
      </c>
      <c r="D17" s="34"/>
      <c r="E17" s="3">
        <f>IF(D17="1 to 4",F17,"")</f>
      </c>
      <c r="F17" s="12" t="s">
        <v>92</v>
      </c>
    </row>
    <row r="18" spans="1:6" ht="30" customHeight="1">
      <c r="A18" s="1">
        <v>3.6</v>
      </c>
      <c r="B18" s="35">
        <f>IF(D18="Do not know",0,IF(D18="Currently calculating",1,IF(D18="99-or-more-to-1",2,IF(D18="Between 98-and-50-to-1",3,IF(D18="Below 50-to-1",4,"")))))</f>
      </c>
      <c r="C18" s="2" t="s">
        <v>342</v>
      </c>
      <c r="D18" s="33"/>
      <c r="E18" s="3">
        <f>IF(D18="Do not know",F18,"")</f>
      </c>
      <c r="F18" s="12" t="s">
        <v>156</v>
      </c>
    </row>
    <row r="19" spans="1:6" ht="30" customHeight="1">
      <c r="A19" s="1">
        <v>3.7</v>
      </c>
      <c r="B19" s="35">
        <f>IF(D19="Do not know",0,IF(D19="Multipurpose",2,IF(D19="Specifically deployed based on business need",4,"")))</f>
      </c>
      <c r="C19" s="2" t="s">
        <v>343</v>
      </c>
      <c r="D19" s="33"/>
      <c r="E19" s="3">
        <f>IF(D19="Do not know",F19,"")</f>
      </c>
      <c r="F19" s="12" t="s">
        <v>158</v>
      </c>
    </row>
    <row r="20" spans="1:6" ht="30" customHeight="1">
      <c r="A20" s="1">
        <v>3.8</v>
      </c>
      <c r="B20" s="35">
        <f>IF(D20="Yes",4,IF(D20="Planning To",2,IF(D20="No",0,"")))</f>
      </c>
      <c r="C20" s="2" t="s">
        <v>344</v>
      </c>
      <c r="D20" s="33"/>
      <c r="E20" s="3">
        <f>IF(D20="No",F20,"")</f>
      </c>
      <c r="F20" s="12" t="s">
        <v>93</v>
      </c>
    </row>
    <row r="21" spans="1:6" ht="30" customHeight="1">
      <c r="A21" s="1">
        <v>3.9</v>
      </c>
      <c r="B21" s="35">
        <f>IF(D21="No one",0,IF(D21="Non-dedicated resource or resources",2,IF(D21="Dedicated resource or resources",4,"")))</f>
      </c>
      <c r="C21" s="2" t="s">
        <v>345</v>
      </c>
      <c r="D21" s="33"/>
      <c r="E21" s="3">
        <f>IF(D21="No one",F21,"")</f>
      </c>
      <c r="F21" s="12" t="s">
        <v>94</v>
      </c>
    </row>
    <row r="22" spans="1:6" ht="30" customHeight="1">
      <c r="A22" s="4">
        <v>3.1</v>
      </c>
      <c r="B22" s="35">
        <f>IF(D22="Yes",4,IF(D22="Planning To",2,IF(D22="No",0,"")))</f>
      </c>
      <c r="C22" s="2" t="s">
        <v>346</v>
      </c>
      <c r="D22" s="33"/>
      <c r="E22" s="3">
        <f>IF(D22="No",F22,"")</f>
      </c>
      <c r="F22" s="12" t="s">
        <v>95</v>
      </c>
    </row>
    <row r="23" spans="1:6" ht="30" customHeight="1">
      <c r="A23" s="53">
        <v>3.11</v>
      </c>
      <c r="B23" s="54">
        <f>IF(D23="Yes",4,IF(D23="Planning To",2,IF(D23="No",0,"")))</f>
      </c>
      <c r="C23" s="2" t="s">
        <v>347</v>
      </c>
      <c r="D23" s="33"/>
      <c r="E23" s="3">
        <f>IF(D23="No",F23,"")</f>
      </c>
      <c r="F23" s="12" t="s">
        <v>96</v>
      </c>
    </row>
    <row r="24" spans="1:6" ht="30">
      <c r="A24" s="55" t="s">
        <v>210</v>
      </c>
      <c r="B24" s="56" t="e">
        <f>AVERAGE(B13:B23)</f>
        <v>#DIV/0!</v>
      </c>
      <c r="C24" s="76"/>
      <c r="D24" s="76"/>
      <c r="E24" s="76"/>
      <c r="F24" s="12"/>
    </row>
    <row r="25" ht="12.75">
      <c r="F25" s="12"/>
    </row>
    <row r="26" spans="1:6" ht="23.25">
      <c r="A26" s="74" t="s">
        <v>485</v>
      </c>
      <c r="B26" s="74"/>
      <c r="C26" s="74"/>
      <c r="D26" s="74"/>
      <c r="E26" s="74"/>
      <c r="F26" s="12"/>
    </row>
    <row r="27" spans="1:6" ht="14.25">
      <c r="A27" s="6" t="s">
        <v>486</v>
      </c>
      <c r="F27" s="12"/>
    </row>
    <row r="28" spans="1:6" ht="14.25" customHeight="1">
      <c r="A28" s="8" t="s">
        <v>465</v>
      </c>
      <c r="B28" s="9" t="s">
        <v>466</v>
      </c>
      <c r="C28" s="8" t="s">
        <v>467</v>
      </c>
      <c r="D28" s="8" t="s">
        <v>468</v>
      </c>
      <c r="E28" s="10" t="s">
        <v>469</v>
      </c>
      <c r="F28" s="12"/>
    </row>
    <row r="29" spans="1:6" ht="29.25" customHeight="1">
      <c r="A29" s="1">
        <v>4.1</v>
      </c>
      <c r="B29" s="35">
        <f>IF(D29="No",4,IF(D29="Planning To",2,IF(D29="Yes",0,"")))</f>
      </c>
      <c r="C29" s="3" t="s">
        <v>348</v>
      </c>
      <c r="D29" s="33"/>
      <c r="E29" s="3">
        <f>IF(D29="Yes",F29,"")</f>
      </c>
      <c r="F29" s="12" t="s">
        <v>97</v>
      </c>
    </row>
    <row r="30" spans="1:6" ht="29.25" customHeight="1">
      <c r="A30" s="1">
        <v>4.2</v>
      </c>
      <c r="B30" s="35">
        <f>IF(D30="Daily",0,IF(D30="Weekly",1,IF(D30="Monthly",2,IF(D30="Occasionally",3,IF(D30="Never",4,"")))))</f>
      </c>
      <c r="C30" s="3" t="s">
        <v>349</v>
      </c>
      <c r="D30" s="33"/>
      <c r="E30" s="3">
        <f>IF(D30="Daily",F30,"")</f>
      </c>
      <c r="F30" s="12" t="s">
        <v>98</v>
      </c>
    </row>
    <row r="31" spans="1:6" ht="29.25" customHeight="1">
      <c r="A31" s="1">
        <v>4.3</v>
      </c>
      <c r="B31" s="35">
        <f>IF(D31="No",0,IF(D31="Planning To",2,IF(D31="Yes",4,"")))</f>
      </c>
      <c r="C31" s="3" t="s">
        <v>350</v>
      </c>
      <c r="D31" s="33"/>
      <c r="E31" s="3">
        <f>IF(D31="No",F31,"")</f>
      </c>
      <c r="F31" s="12" t="s">
        <v>100</v>
      </c>
    </row>
    <row r="32" spans="1:6" ht="29.25" customHeight="1">
      <c r="A32" s="1">
        <v>4.4</v>
      </c>
      <c r="B32" s="35">
        <f>IF(D32="Never updated",0,IF(D32="Occasionally updated",1,IF(D32="Once every year",2,IF(D32="Once every 6 months",3,IF(D32="Once per quarter",4,"")))))</f>
      </c>
      <c r="C32" s="3" t="s">
        <v>295</v>
      </c>
      <c r="D32" s="33"/>
      <c r="E32" s="3">
        <f>IF(D32="Never updated",F32,"")</f>
      </c>
      <c r="F32" s="12" t="s">
        <v>101</v>
      </c>
    </row>
    <row r="33" spans="1:6" ht="29.25" customHeight="1">
      <c r="A33" s="1">
        <v>4.5</v>
      </c>
      <c r="B33" s="35">
        <f>IF(D33="No",0,IF(D33="Planning To",2,IF(D33="Yes",4,"")))</f>
      </c>
      <c r="C33" s="3" t="s">
        <v>299</v>
      </c>
      <c r="D33" s="33"/>
      <c r="E33" s="3">
        <f>IF(D33="No",F33,"")</f>
      </c>
      <c r="F33" s="12" t="s">
        <v>102</v>
      </c>
    </row>
    <row r="34" spans="1:6" ht="29.25" customHeight="1">
      <c r="A34" s="1">
        <v>4.6</v>
      </c>
      <c r="B34" s="35">
        <f>IF(D34="Never updated",0,IF(D34="Occasionally updated",1,IF(D34="Once every year",2,IF(D34="Once every 6 months",3,IF(D34="Once per quarter",4,"")))))</f>
      </c>
      <c r="C34" s="3" t="s">
        <v>296</v>
      </c>
      <c r="D34" s="33"/>
      <c r="E34" s="3">
        <f>IF(D34="Never updated",F34,"")</f>
      </c>
      <c r="F34" s="12" t="s">
        <v>103</v>
      </c>
    </row>
    <row r="35" spans="1:6" ht="29.25" customHeight="1">
      <c r="A35" s="1">
        <v>4.7</v>
      </c>
      <c r="B35" s="35">
        <f>IF(D35="No",0,IF(D35="Planning To",2,IF(D35="Yes",4,"")))</f>
      </c>
      <c r="C35" s="3" t="s">
        <v>298</v>
      </c>
      <c r="D35" s="33"/>
      <c r="E35" s="3">
        <f>IF(D35="No",F35,"")</f>
      </c>
      <c r="F35" s="12" t="s">
        <v>104</v>
      </c>
    </row>
    <row r="36" spans="1:6" ht="29.25" customHeight="1">
      <c r="A36" s="1">
        <v>4.8</v>
      </c>
      <c r="B36" s="35">
        <f>IF(D36="Never updated",0,IF(D36="Occasionally updated",1,IF(D36="Once every year",2,IF(D36="Once every 6 months",3,IF(D36="Once per quarter",4,"")))))</f>
      </c>
      <c r="C36" s="3" t="s">
        <v>297</v>
      </c>
      <c r="D36" s="33"/>
      <c r="E36" s="3">
        <f>IF(D36="Never updated",F36,"")</f>
      </c>
      <c r="F36" s="12" t="s">
        <v>105</v>
      </c>
    </row>
    <row r="37" spans="1:6" ht="29.25" customHeight="1">
      <c r="A37" s="1">
        <v>4.9</v>
      </c>
      <c r="B37" s="35">
        <f>IF(D37="Whatever is available or cheapest",0,IF(D37="Informal research",2,IF(D37="Formal research",4,"")))</f>
      </c>
      <c r="C37" s="3" t="s">
        <v>351</v>
      </c>
      <c r="D37" s="33"/>
      <c r="E37" s="3">
        <f>IF(D37="Whatever is available or cheapest",F37,"")</f>
      </c>
      <c r="F37" s="12" t="s">
        <v>106</v>
      </c>
    </row>
    <row r="38" spans="1:6" ht="29.25" customHeight="1">
      <c r="A38" s="4">
        <v>4.1</v>
      </c>
      <c r="B38" s="35">
        <f>IF(D38="81-100%",0,IF(D38="61-80%",1,IF(D38="41-60%",2,IF(D38="21-40%",3,IF(D38="0-20%",4,"")))))</f>
      </c>
      <c r="C38" s="3" t="s">
        <v>352</v>
      </c>
      <c r="D38" s="33"/>
      <c r="E38" s="3">
        <f>IF(D38="81-100%",F38,"")</f>
      </c>
      <c r="F38" s="12" t="s">
        <v>107</v>
      </c>
    </row>
    <row r="39" spans="1:6" ht="29.25" customHeight="1">
      <c r="A39" s="4">
        <v>4.11</v>
      </c>
      <c r="B39" s="35">
        <f>IF(D39="No one",0,IF(D39="Non-dedicated resource or resources",2,IF(D39="Dedicated resource or resources",4,"")))</f>
      </c>
      <c r="C39" s="3" t="s">
        <v>353</v>
      </c>
      <c r="D39" s="33"/>
      <c r="E39" s="3">
        <f>IF(D39="No one",F39,"")</f>
      </c>
      <c r="F39" s="12" t="s">
        <v>109</v>
      </c>
    </row>
    <row r="40" spans="1:6" ht="29.25" customHeight="1">
      <c r="A40" s="57">
        <v>4.12</v>
      </c>
      <c r="B40" s="54">
        <f>IF(D40="No",0,IF(D40="Planning To",2,IF(D40="Yes",4,"")))</f>
      </c>
      <c r="C40" s="3" t="s">
        <v>354</v>
      </c>
      <c r="D40" s="33"/>
      <c r="E40" s="3">
        <f>IF(D40="No",F40,"")</f>
      </c>
      <c r="F40" s="12" t="s">
        <v>108</v>
      </c>
    </row>
    <row r="41" spans="1:6" ht="30">
      <c r="A41" s="55" t="s">
        <v>210</v>
      </c>
      <c r="B41" s="56" t="e">
        <f>AVERAGE(B29:B40)</f>
        <v>#DIV/0!</v>
      </c>
      <c r="C41" s="76"/>
      <c r="D41" s="76"/>
      <c r="E41" s="76"/>
      <c r="F41" s="12"/>
    </row>
    <row r="42" ht="12.75">
      <c r="F42" s="12"/>
    </row>
    <row r="43" spans="1:6" ht="23.25">
      <c r="A43" s="74" t="s">
        <v>487</v>
      </c>
      <c r="B43" s="74"/>
      <c r="C43" s="74"/>
      <c r="D43" s="74"/>
      <c r="E43" s="74"/>
      <c r="F43" s="12"/>
    </row>
    <row r="44" spans="1:6" ht="14.25">
      <c r="A44" s="6" t="s">
        <v>499</v>
      </c>
      <c r="B44" s="7"/>
      <c r="C44" s="7"/>
      <c r="D44" s="7"/>
      <c r="E44" s="7"/>
      <c r="F44" s="12"/>
    </row>
    <row r="45" spans="1:6" ht="15">
      <c r="A45" s="8" t="s">
        <v>465</v>
      </c>
      <c r="B45" s="9" t="s">
        <v>466</v>
      </c>
      <c r="C45" s="8" t="s">
        <v>467</v>
      </c>
      <c r="D45" s="8" t="s">
        <v>468</v>
      </c>
      <c r="E45" s="10" t="s">
        <v>469</v>
      </c>
      <c r="F45" s="12"/>
    </row>
    <row r="46" spans="1:6" ht="30" customHeight="1">
      <c r="A46" s="1">
        <v>5.1</v>
      </c>
      <c r="B46" s="35">
        <f>IF(D46="Dialup",0,IF(D46="DSL or Cable",2,IF(D46="Dedicated line - e.g. T1",4,"")))</f>
      </c>
      <c r="C46" s="3" t="s">
        <v>500</v>
      </c>
      <c r="D46" s="33"/>
      <c r="E46" s="3">
        <f>IF(D46="Dialup",F46,"")</f>
      </c>
      <c r="F46" s="12" t="s">
        <v>110</v>
      </c>
    </row>
    <row r="47" spans="1:6" ht="30" customHeight="1">
      <c r="A47" s="1">
        <v>5.2</v>
      </c>
      <c r="B47" s="35">
        <f>IF(D47="Daily",0,IF(D47="Weekly",1,IF(D47="Monthly",2,IF(D47="Occasionally",3,IF(D47="Never",4,"")))))</f>
      </c>
      <c r="C47" s="3" t="s">
        <v>50</v>
      </c>
      <c r="D47" s="33"/>
      <c r="E47" s="3">
        <f>IF(D47="Daily",F47,"")</f>
      </c>
      <c r="F47" s="12" t="s">
        <v>97</v>
      </c>
    </row>
    <row r="48" spans="1:6" ht="30" customHeight="1">
      <c r="A48" s="1">
        <v>5.3</v>
      </c>
      <c r="B48" s="35">
        <f>IF(D48="No",0,IF(D48="Planning To",2,IF(D48="Yes",4,"")))</f>
      </c>
      <c r="C48" s="3" t="s">
        <v>501</v>
      </c>
      <c r="D48" s="33"/>
      <c r="E48" s="3">
        <f>IF(D48="No",F48,"")</f>
      </c>
      <c r="F48" s="12" t="s">
        <v>111</v>
      </c>
    </row>
    <row r="49" spans="1:6" ht="30" customHeight="1">
      <c r="A49" s="1">
        <v>5.4</v>
      </c>
      <c r="B49" s="35">
        <f>IF(D49="Never updated",0,IF(D49="Occasionally updated",1,IF(D49="Once every year",2,IF(D49="Once every 6 months",3,IF(D49="Once per quarter",4,"")))))</f>
      </c>
      <c r="C49" s="3" t="s">
        <v>295</v>
      </c>
      <c r="D49" s="33"/>
      <c r="E49" s="3">
        <f>IF(D49="Never updated",F49,"")</f>
      </c>
      <c r="F49" s="12" t="s">
        <v>101</v>
      </c>
    </row>
    <row r="50" spans="1:6" ht="30" customHeight="1">
      <c r="A50" s="1">
        <v>5.5</v>
      </c>
      <c r="B50" s="35">
        <f>IF(D50="No",0,IF(D50="Planning To",2,IF(D50="Yes",4,"")))</f>
      </c>
      <c r="C50" s="3" t="s">
        <v>502</v>
      </c>
      <c r="D50" s="33"/>
      <c r="E50" s="3">
        <f>IF(D50="No",F50,"")</f>
      </c>
      <c r="F50" s="12" t="s">
        <v>112</v>
      </c>
    </row>
    <row r="51" spans="1:6" ht="30" customHeight="1">
      <c r="A51" s="1">
        <v>5.6</v>
      </c>
      <c r="B51" s="35">
        <f>IF(D51="Never updated",0,IF(D51="Occasionally updated",1,IF(D51="Once every year",2,IF(D51="Once every 6 months",3,IF(D51="Once per quarter",4,"")))))</f>
      </c>
      <c r="C51" s="3" t="s">
        <v>300</v>
      </c>
      <c r="D51" s="33"/>
      <c r="E51" s="3">
        <f>IF(D51="Never updated",F51,"")</f>
      </c>
      <c r="F51" s="12" t="s">
        <v>113</v>
      </c>
    </row>
    <row r="52" spans="1:6" ht="30" customHeight="1">
      <c r="A52" s="1">
        <v>5.7</v>
      </c>
      <c r="B52" s="35">
        <f>IF(D52="No",0,IF(D52="Planning To",2,IF(D52="Yes",4,"")))</f>
      </c>
      <c r="C52" s="3" t="s">
        <v>503</v>
      </c>
      <c r="D52" s="33"/>
      <c r="E52" s="3">
        <f>IF(D52="No",F52,"")</f>
      </c>
      <c r="F52" s="12" t="s">
        <v>126</v>
      </c>
    </row>
    <row r="53" spans="1:6" ht="30" customHeight="1">
      <c r="A53" s="1">
        <v>5.8</v>
      </c>
      <c r="B53" s="35">
        <f>IF(D53="Never updated",0,IF(D53="Occasionally updated",1,IF(D53="Once every year",2,IF(D53="Once every 6 months",3,IF(D53="Once per quarter",4,"")))))</f>
      </c>
      <c r="C53" s="3" t="s">
        <v>37</v>
      </c>
      <c r="D53" s="33"/>
      <c r="E53" s="3">
        <f>IF(D53="Never updated",F53,"")</f>
      </c>
      <c r="F53" s="12" t="s">
        <v>105</v>
      </c>
    </row>
    <row r="54" spans="1:6" ht="30" customHeight="1">
      <c r="A54" s="1">
        <v>5.9</v>
      </c>
      <c r="B54" s="35">
        <f>IF(D54="Whatever is available or cheapest",0,IF(D54="Informal research",2,IF(D54="Formal research",4,"")))</f>
      </c>
      <c r="C54" s="3" t="s">
        <v>504</v>
      </c>
      <c r="D54" s="33"/>
      <c r="E54" s="3">
        <f>IF(D54="Whatever is available or cheapest",F54,"")</f>
      </c>
      <c r="F54" s="12" t="s">
        <v>106</v>
      </c>
    </row>
    <row r="55" spans="1:6" ht="30" customHeight="1">
      <c r="A55" s="4">
        <v>5.1</v>
      </c>
      <c r="B55" s="35">
        <f>IF(D55="81-100%",0,IF(D55="61-80%",1,IF(D55="41-60%",2,IF(D55="21-40%",3,IF(D55="0-20%",4,"")))))</f>
      </c>
      <c r="C55" s="3" t="s">
        <v>505</v>
      </c>
      <c r="D55" s="33"/>
      <c r="E55" s="3">
        <f>IF(D55="81-100%",F55,"")</f>
      </c>
      <c r="F55" s="12" t="s">
        <v>107</v>
      </c>
    </row>
    <row r="56" spans="1:6" ht="30" customHeight="1">
      <c r="A56" s="4">
        <v>5.11</v>
      </c>
      <c r="B56" s="35">
        <f>IF(D56="No one",0,IF(D56="Non-dedicated resource or resources",2,IF(D56="Dedicated resource or resources",4,"")))</f>
      </c>
      <c r="C56" s="3" t="s">
        <v>506</v>
      </c>
      <c r="D56" s="33"/>
      <c r="E56" s="3">
        <f>IF(D56="No one",F56,"")</f>
      </c>
      <c r="F56" s="12" t="s">
        <v>109</v>
      </c>
    </row>
    <row r="57" spans="1:6" ht="30" customHeight="1">
      <c r="A57" s="57">
        <v>5.12</v>
      </c>
      <c r="B57" s="54">
        <f>IF(D57="No",0,IF(D57="Planning To",2,IF(D57="Yes",4,"")))</f>
      </c>
      <c r="C57" s="3" t="s">
        <v>507</v>
      </c>
      <c r="D57" s="33"/>
      <c r="E57" s="3">
        <f>IF(D57="No",F57,"")</f>
      </c>
      <c r="F57" s="12" t="s">
        <v>127</v>
      </c>
    </row>
    <row r="58" spans="1:6" ht="30">
      <c r="A58" s="55" t="s">
        <v>210</v>
      </c>
      <c r="B58" s="56" t="e">
        <f>AVERAGE(B46:B57)</f>
        <v>#DIV/0!</v>
      </c>
      <c r="C58" s="76"/>
      <c r="D58" s="76"/>
      <c r="E58" s="76"/>
      <c r="F58" s="12"/>
    </row>
  </sheetData>
  <mergeCells count="9">
    <mergeCell ref="C2:E2"/>
    <mergeCell ref="C3:E3"/>
    <mergeCell ref="C4:E4"/>
    <mergeCell ref="A10:E10"/>
    <mergeCell ref="C58:E58"/>
    <mergeCell ref="A26:E26"/>
    <mergeCell ref="A43:E43"/>
    <mergeCell ref="C24:E24"/>
    <mergeCell ref="C41:E41"/>
  </mergeCells>
  <conditionalFormatting sqref="E45 E28 E12">
    <cfRule type="cellIs" priority="1" dxfId="0" operator="equal" stopIfTrue="1">
      <formula>0</formula>
    </cfRule>
  </conditionalFormatting>
  <conditionalFormatting sqref="B7 B24 B41 B58">
    <cfRule type="expression" priority="2" dxfId="2" stopIfTrue="1">
      <formula>ISERROR(B7)</formula>
    </cfRule>
  </conditionalFormatting>
  <dataValidations count="11">
    <dataValidation type="list" allowBlank="1" showInputMessage="1" showErrorMessage="1" sqref="D48 D50 D52 D57 D33 D35 D40 D22:D23 D13 D20 D31">
      <formula1>"No,Planning to,Yes"</formula1>
    </dataValidation>
    <dataValidation type="list" allowBlank="1" showInputMessage="1" showErrorMessage="1" sqref="D54 D15 D37">
      <formula1>"Whatever is available or cheapest,Informal research,Formal research"</formula1>
    </dataValidation>
    <dataValidation type="list" allowBlank="1" showInputMessage="1" showErrorMessage="1" sqref="D18">
      <formula1>"Do not know,Currently calculating,99-or-more-to-1,Between 98-and-50-to-1,Below 50-to-1"</formula1>
    </dataValidation>
    <dataValidation type="list" allowBlank="1" showInputMessage="1" showErrorMessage="1" sqref="D17">
      <formula1>"1 to 4,5 to 9,10 or more"</formula1>
    </dataValidation>
    <dataValidation type="list" allowBlank="1" showInputMessage="1" showErrorMessage="1" sqref="D19">
      <formula1>"Do not know,Multipurpose,Specifically deployed based on business need"</formula1>
    </dataValidation>
    <dataValidation type="list" allowBlank="1" showInputMessage="1" showErrorMessage="1" sqref="D55 D16 D38">
      <formula1>"81-100%,61-80%,41-60%,21-40%,0-20%"</formula1>
    </dataValidation>
    <dataValidation type="list" allowBlank="1" showInputMessage="1" showErrorMessage="1" sqref="D47 D30">
      <formula1>"Daily,Weekly,Monthly,Occasionally,Never"</formula1>
    </dataValidation>
    <dataValidation type="list" allowBlank="1" showInputMessage="1" showErrorMessage="1" sqref="D29">
      <formula1>"Yes,No"</formula1>
    </dataValidation>
    <dataValidation type="list" allowBlank="1" showInputMessage="1" showErrorMessage="1" sqref="D46">
      <formula1>"Dialup,DSL or Cable,Dedicated line - e.g. T1"</formula1>
    </dataValidation>
    <dataValidation type="list" allowBlank="1" showInputMessage="1" showErrorMessage="1" sqref="D49 D51 D53 D14 D32 D34 D36">
      <formula1>"Never updated,Occasionally updated,Once every year,Once every 6 months,Once per quarter"</formula1>
    </dataValidation>
    <dataValidation type="list" allowBlank="1" showInputMessage="1" showErrorMessage="1" sqref="D21 D39 D56">
      <formula1>"No one,Non-dedicated resource or resources,Dedicated resource or resources"</formula1>
    </dataValidation>
  </dataValidations>
  <printOptions/>
  <pageMargins left="0.75" right="0.75" top="1" bottom="1" header="0.5" footer="0.5"/>
  <pageSetup fitToHeight="1" fitToWidth="1" horizontalDpi="600" verticalDpi="600" orientation="portrait" scale="40"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F42"/>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68.7109375" style="0" hidden="1" customWidth="1"/>
  </cols>
  <sheetData>
    <row r="2" spans="3:5" ht="33.75" customHeight="1">
      <c r="C2" s="70" t="s">
        <v>463</v>
      </c>
      <c r="D2" s="70"/>
      <c r="E2" s="70"/>
    </row>
    <row r="3" spans="3:5" ht="26.25" customHeight="1">
      <c r="C3" s="77" t="s">
        <v>288</v>
      </c>
      <c r="D3" s="77"/>
      <c r="E3" s="77"/>
    </row>
    <row r="4" spans="3:5" ht="26.25">
      <c r="C4" s="78" t="s">
        <v>5</v>
      </c>
      <c r="D4" s="78"/>
      <c r="E4" s="78"/>
    </row>
    <row r="5" ht="9" customHeight="1"/>
    <row r="6" spans="1:2" ht="12.75">
      <c r="A6" s="28" t="s">
        <v>212</v>
      </c>
      <c r="B6" s="29"/>
    </row>
    <row r="7" spans="1:2" ht="41.25" customHeight="1">
      <c r="A7" s="30" t="s">
        <v>211</v>
      </c>
      <c r="B7" s="32" t="e">
        <f>AVERAGE(B13:B22,B28:B35)</f>
        <v>#DIV/0!</v>
      </c>
    </row>
    <row r="8" spans="1:2" ht="27.75" customHeight="1">
      <c r="A8" s="30" t="s">
        <v>209</v>
      </c>
      <c r="B8" s="31">
        <f>Weightings!D14</f>
        <v>0</v>
      </c>
    </row>
    <row r="9" ht="9" customHeight="1"/>
    <row r="10" spans="1:5" ht="23.25">
      <c r="A10" s="74" t="s">
        <v>1</v>
      </c>
      <c r="B10" s="74"/>
      <c r="C10" s="74"/>
      <c r="D10" s="74"/>
      <c r="E10" s="74"/>
    </row>
    <row r="11" ht="14.25">
      <c r="A11" s="6" t="s">
        <v>4</v>
      </c>
    </row>
    <row r="12" spans="1:5" ht="15">
      <c r="A12" s="8" t="s">
        <v>465</v>
      </c>
      <c r="B12" s="9" t="s">
        <v>466</v>
      </c>
      <c r="C12" s="8" t="s">
        <v>467</v>
      </c>
      <c r="D12" s="8" t="s">
        <v>468</v>
      </c>
      <c r="E12" s="10" t="s">
        <v>469</v>
      </c>
    </row>
    <row r="13" spans="1:6" ht="30" customHeight="1">
      <c r="A13" s="1">
        <v>6.1</v>
      </c>
      <c r="B13" s="35">
        <f>IF(D13="Do not know",0,IF(D13="Local hard drives",2,IF(D13="Network drives",4,"")))</f>
      </c>
      <c r="C13" s="3" t="s">
        <v>355</v>
      </c>
      <c r="D13" s="33"/>
      <c r="E13" s="3">
        <f>IF(D13="Do not know",F13,"")</f>
      </c>
      <c r="F13" s="12" t="s">
        <v>128</v>
      </c>
    </row>
    <row r="14" spans="1:6" ht="30" customHeight="1">
      <c r="A14" s="1">
        <v>6.2</v>
      </c>
      <c r="B14" s="35">
        <f>IF(D14="No",0,IF(D14="Planning To",2,IF(D14="Yes",4,"")))</f>
      </c>
      <c r="C14" s="3" t="s">
        <v>356</v>
      </c>
      <c r="D14" s="33"/>
      <c r="E14" s="3">
        <f>IF(D14="No",F14,"")</f>
      </c>
      <c r="F14" s="12" t="s">
        <v>129</v>
      </c>
    </row>
    <row r="15" spans="1:6" ht="30" customHeight="1">
      <c r="A15" s="1">
        <v>6.3</v>
      </c>
      <c r="B15" s="35">
        <f>IF(D15="No",0,IF(D15="Planning To",2,IF(D15="Yes",4,"")))</f>
      </c>
      <c r="C15" s="3" t="s">
        <v>357</v>
      </c>
      <c r="D15" s="33"/>
      <c r="E15" s="3">
        <f>IF(D15="No",F15,"")</f>
      </c>
      <c r="F15" s="12" t="s">
        <v>130</v>
      </c>
    </row>
    <row r="16" spans="1:6" ht="30" customHeight="1">
      <c r="A16" s="1">
        <v>6.4</v>
      </c>
      <c r="B16" s="35">
        <f>IF(D16="81-100%",0,IF(D16="61-80%",1,IF(D16="41-60%",2,IF(D16="21-40%",3,IF(D16="0-20%",4,"")))))</f>
      </c>
      <c r="C16" s="3" t="s">
        <v>69</v>
      </c>
      <c r="D16" s="33"/>
      <c r="E16" s="3">
        <f>IF(D16="81-100%",F16,"")</f>
      </c>
      <c r="F16" s="12" t="s">
        <v>131</v>
      </c>
    </row>
    <row r="17" spans="1:6" ht="30" customHeight="1">
      <c r="A17" s="1">
        <v>6.5</v>
      </c>
      <c r="B17" s="35">
        <f>IF(D17="Yes",0,IF(D17="No",4,""))</f>
      </c>
      <c r="C17" s="3" t="s">
        <v>159</v>
      </c>
      <c r="D17" s="33"/>
      <c r="E17" s="3">
        <f>IF(D17="Yes",F17,"")</f>
      </c>
      <c r="F17" s="12" t="s">
        <v>132</v>
      </c>
    </row>
    <row r="18" spans="1:6" ht="30" customHeight="1">
      <c r="A18" s="1">
        <v>6.6</v>
      </c>
      <c r="B18" s="35">
        <f>IF(D18="Yes",0,IF(D18="No",4,""))</f>
      </c>
      <c r="C18" s="3" t="s">
        <v>160</v>
      </c>
      <c r="D18" s="33"/>
      <c r="E18" s="3">
        <f>IF(D18="Yes",F18,"")</f>
      </c>
      <c r="F18" s="12" t="s">
        <v>133</v>
      </c>
    </row>
    <row r="19" spans="1:6" ht="30" customHeight="1">
      <c r="A19" s="1">
        <v>6.7</v>
      </c>
      <c r="B19" s="35">
        <f>IF(D19="Yes",0,IF(D19="No",4,""))</f>
      </c>
      <c r="C19" s="3" t="s">
        <v>161</v>
      </c>
      <c r="D19" s="33"/>
      <c r="E19" s="3">
        <f>IF(D19="Yes",F19,"")</f>
      </c>
      <c r="F19" s="12" t="s">
        <v>301</v>
      </c>
    </row>
    <row r="20" spans="1:6" ht="30" customHeight="1">
      <c r="A20" s="1">
        <v>6.8</v>
      </c>
      <c r="B20" s="35">
        <f>IF(D20="81-100%",0,IF(D20="61-80%",1,IF(D20="41-60%",2,IF(D20="21-40%",3,IF(D20="0-20%",4,"")))))</f>
      </c>
      <c r="C20" s="3" t="s">
        <v>358</v>
      </c>
      <c r="D20" s="33"/>
      <c r="E20" s="3">
        <f>IF(D20="81-100%",F20,"")</f>
      </c>
      <c r="F20" s="12" t="s">
        <v>302</v>
      </c>
    </row>
    <row r="21" spans="1:6" ht="30" customHeight="1">
      <c r="A21" s="1">
        <v>6.9</v>
      </c>
      <c r="B21" s="35">
        <f>IF(D21="General-purpose servers anywhere within the organization",0,IF(D21="General-purpose servers in a dedicated and secure area",2,IF(D21="Dedicated storage devices in a secure area",4,"")))</f>
      </c>
      <c r="C21" s="3" t="s">
        <v>359</v>
      </c>
      <c r="D21" s="33"/>
      <c r="E21" s="3">
        <f>IF(D21="General-purpose servers anywhere within the organization",F21,"")</f>
      </c>
      <c r="F21" s="12" t="s">
        <v>303</v>
      </c>
    </row>
    <row r="22" spans="1:6" ht="30" customHeight="1">
      <c r="A22" s="57">
        <v>6.1</v>
      </c>
      <c r="B22" s="54">
        <f>IF(D22="No one",0,IF(D22="Non-dedicated resource or resources",2,IF(D22="Dedicated resource or resources",4,"")))</f>
      </c>
      <c r="C22" s="3" t="s">
        <v>360</v>
      </c>
      <c r="D22" s="33"/>
      <c r="E22" s="3">
        <f>IF(D22="No one",F22,"")</f>
      </c>
      <c r="F22" s="12" t="s">
        <v>304</v>
      </c>
    </row>
    <row r="23" spans="1:6" ht="30">
      <c r="A23" s="55" t="s">
        <v>210</v>
      </c>
      <c r="B23" s="56" t="e">
        <f>AVERAGE(B13:B22)</f>
        <v>#DIV/0!</v>
      </c>
      <c r="C23" s="76"/>
      <c r="D23" s="76"/>
      <c r="E23" s="76"/>
      <c r="F23" s="12"/>
    </row>
    <row r="24" ht="12.75">
      <c r="F24" s="12"/>
    </row>
    <row r="25" spans="1:6" ht="23.25">
      <c r="A25" s="74" t="s">
        <v>2</v>
      </c>
      <c r="B25" s="74"/>
      <c r="C25" s="74"/>
      <c r="D25" s="74"/>
      <c r="E25" s="74"/>
      <c r="F25" s="12"/>
    </row>
    <row r="26" spans="1:6" ht="14.25">
      <c r="A26" s="6" t="s">
        <v>3</v>
      </c>
      <c r="F26" s="12"/>
    </row>
    <row r="27" spans="1:6" ht="14.25" customHeight="1">
      <c r="A27" s="8" t="s">
        <v>465</v>
      </c>
      <c r="B27" s="9" t="s">
        <v>466</v>
      </c>
      <c r="C27" s="8" t="s">
        <v>467</v>
      </c>
      <c r="D27" s="8" t="s">
        <v>468</v>
      </c>
      <c r="E27" s="10" t="s">
        <v>469</v>
      </c>
      <c r="F27" s="12"/>
    </row>
    <row r="28" spans="1:6" ht="29.25" customHeight="1">
      <c r="A28" s="1">
        <v>7.1</v>
      </c>
      <c r="B28" s="35">
        <f aca="true" t="shared" si="0" ref="B28:B34">IF(D28="No",0,IF(D28="Planning To",2,IF(D28="Yes",4,"")))</f>
      </c>
      <c r="C28" s="3" t="s">
        <v>361</v>
      </c>
      <c r="D28" s="33"/>
      <c r="E28" s="3">
        <f aca="true" t="shared" si="1" ref="E28:E34">IF(D28="No",F28,"")</f>
      </c>
      <c r="F28" s="12" t="s">
        <v>144</v>
      </c>
    </row>
    <row r="29" spans="1:6" ht="29.25" customHeight="1">
      <c r="A29" s="1">
        <v>7.2</v>
      </c>
      <c r="B29" s="35">
        <f>IF(D29="Never updated",0,IF(D29="Occasionally updated",1,IF(D29="Once every year",2,IF(D29="Once every 6 months",3,IF(D29="Once per quarter",4,"")))))</f>
      </c>
      <c r="C29" s="3" t="s">
        <v>362</v>
      </c>
      <c r="D29" s="33"/>
      <c r="E29" s="3">
        <f>IF(D29="Never updated",F29,"")</f>
      </c>
      <c r="F29" s="12" t="s">
        <v>145</v>
      </c>
    </row>
    <row r="30" spans="1:6" ht="29.25" customHeight="1">
      <c r="A30" s="1">
        <v>7.3</v>
      </c>
      <c r="B30" s="35">
        <f t="shared" si="0"/>
      </c>
      <c r="C30" s="3" t="s">
        <v>363</v>
      </c>
      <c r="D30" s="33"/>
      <c r="E30" s="3">
        <f t="shared" si="1"/>
      </c>
      <c r="F30" s="12" t="s">
        <v>146</v>
      </c>
    </row>
    <row r="31" spans="1:6" ht="29.25" customHeight="1">
      <c r="A31" s="1">
        <v>7.4</v>
      </c>
      <c r="B31" s="35">
        <f>IF(D31="Never updated",0,IF(D31="Occasionally updated",1,IF(D31="Once every year",2,IF(D31="Once every 6 months",3,IF(D31="Once per quarter",4,"")))))</f>
      </c>
      <c r="C31" s="3" t="s">
        <v>364</v>
      </c>
      <c r="D31" s="33"/>
      <c r="E31" s="3">
        <f>IF(D31="Never updated",F31,"")</f>
      </c>
      <c r="F31" s="12" t="s">
        <v>305</v>
      </c>
    </row>
    <row r="32" spans="1:6" ht="29.25" customHeight="1">
      <c r="A32" s="1">
        <v>7.5</v>
      </c>
      <c r="B32" s="35">
        <f t="shared" si="0"/>
      </c>
      <c r="C32" s="3" t="s">
        <v>365</v>
      </c>
      <c r="D32" s="33"/>
      <c r="E32" s="3">
        <f t="shared" si="1"/>
      </c>
      <c r="F32" s="12" t="s">
        <v>147</v>
      </c>
    </row>
    <row r="33" spans="1:6" ht="29.25" customHeight="1">
      <c r="A33" s="1">
        <v>7.6</v>
      </c>
      <c r="B33" s="35">
        <f>IF(D33="Never updated",0,IF(D33="Occasionally updated",1,IF(D33="Once every year",2,IF(D33="Once every 6 months",3,IF(D33="Once per quarter",4,"")))))</f>
      </c>
      <c r="C33" s="3" t="s">
        <v>366</v>
      </c>
      <c r="D33" s="33"/>
      <c r="E33" s="3">
        <f>IF(D33="Never updated",F33,"")</f>
      </c>
      <c r="F33" s="12" t="s">
        <v>148</v>
      </c>
    </row>
    <row r="34" spans="1:6" ht="29.25" customHeight="1">
      <c r="A34" s="1">
        <v>7.7</v>
      </c>
      <c r="B34" s="35">
        <f t="shared" si="0"/>
      </c>
      <c r="C34" s="3" t="s">
        <v>367</v>
      </c>
      <c r="D34" s="33"/>
      <c r="E34" s="3">
        <f t="shared" si="1"/>
      </c>
      <c r="F34" s="12" t="s">
        <v>149</v>
      </c>
    </row>
    <row r="35" spans="1:6" ht="29.25" customHeight="1">
      <c r="A35" s="53">
        <v>7.8</v>
      </c>
      <c r="B35" s="54">
        <f>IF(D35="Whatever is available or cheapest",0,IF(D35="Informal research",2,IF(D35="Formal research",4,"")))</f>
      </c>
      <c r="C35" s="3" t="s">
        <v>368</v>
      </c>
      <c r="D35" s="33"/>
      <c r="E35" s="3">
        <f>IF(D35="Whatever is available or cheapest",F35,"")</f>
      </c>
      <c r="F35" s="12" t="s">
        <v>150</v>
      </c>
    </row>
    <row r="36" spans="1:6" ht="30">
      <c r="A36" s="55" t="s">
        <v>210</v>
      </c>
      <c r="B36" s="56" t="e">
        <f>AVERAGE(B28:B35)</f>
        <v>#DIV/0!</v>
      </c>
      <c r="C36" s="76"/>
      <c r="D36" s="76"/>
      <c r="E36" s="76"/>
      <c r="F36" s="12"/>
    </row>
    <row r="37" ht="12.75">
      <c r="F37" s="12"/>
    </row>
    <row r="38" ht="12.75">
      <c r="F38" s="12"/>
    </row>
    <row r="39" ht="12.75">
      <c r="F39" s="12"/>
    </row>
    <row r="40" ht="12.75">
      <c r="F40" s="12"/>
    </row>
    <row r="41" ht="12.75">
      <c r="F41" s="12"/>
    </row>
    <row r="42" ht="12.75">
      <c r="F42" s="12"/>
    </row>
  </sheetData>
  <mergeCells count="7">
    <mergeCell ref="A25:E25"/>
    <mergeCell ref="C23:E23"/>
    <mergeCell ref="C36:E36"/>
    <mergeCell ref="C2:E2"/>
    <mergeCell ref="C3:E3"/>
    <mergeCell ref="C4:E4"/>
    <mergeCell ref="A10:E10"/>
  </mergeCells>
  <conditionalFormatting sqref="E27 E12">
    <cfRule type="cellIs" priority="1" dxfId="0" operator="equal" stopIfTrue="1">
      <formula>0</formula>
    </cfRule>
  </conditionalFormatting>
  <conditionalFormatting sqref="B7 B36 B23">
    <cfRule type="expression" priority="2" dxfId="2" stopIfTrue="1">
      <formula>ISERROR(B7)</formula>
    </cfRule>
  </conditionalFormatting>
  <dataValidations count="8">
    <dataValidation type="list" allowBlank="1" showInputMessage="1" showErrorMessage="1" sqref="D34 D28 D30 D32 D14:D15">
      <formula1>"No,Planning to,Yes"</formula1>
    </dataValidation>
    <dataValidation type="list" allowBlank="1" showInputMessage="1" showErrorMessage="1" sqref="D13">
      <formula1>"Do not know,Local hard drives,Network drives"</formula1>
    </dataValidation>
    <dataValidation type="list" allowBlank="1" showInputMessage="1" showErrorMessage="1" sqref="D21">
      <formula1>"General-purpose servers anywhere within the organization,General-purpose servers in a dedicated and secure area,Dedicated storage devices in a secure area"</formula1>
    </dataValidation>
    <dataValidation type="list" allowBlank="1" showInputMessage="1" showErrorMessage="1" sqref="D20 D16">
      <formula1>"81-100%,61-80%,41-60%,21-40%,0-20%"</formula1>
    </dataValidation>
    <dataValidation type="list" allowBlank="1" showInputMessage="1" showErrorMessage="1" sqref="D17:D19">
      <formula1>"Yes,No"</formula1>
    </dataValidation>
    <dataValidation type="list" allowBlank="1" showInputMessage="1" showErrorMessage="1" sqref="D35">
      <formula1>"Whatever is available or cheapest,Informal research,Formal research"</formula1>
    </dataValidation>
    <dataValidation type="list" allowBlank="1" showInputMessage="1" showErrorMessage="1" sqref="D29 D31 D33">
      <formula1>"Never updated,Occasionally updated,Once every year,Once every 6 months,Once per quarter"</formula1>
    </dataValidation>
    <dataValidation type="list" allowBlank="1" showInputMessage="1" showErrorMessage="1" sqref="D22">
      <formula1>"No one,Non-dedicated resource or resources,Dedicated resource or resources"</formula1>
    </dataValidation>
  </dataValidations>
  <printOptions/>
  <pageMargins left="0.75" right="0.75" top="1" bottom="1" header="0.5" footer="0.5"/>
  <pageSetup fitToHeight="1" fitToWidth="1" horizontalDpi="600" verticalDpi="600" orientation="landscape" scale="50"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F36"/>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59.7109375" style="0" hidden="1" customWidth="1"/>
  </cols>
  <sheetData>
    <row r="2" spans="3:5" ht="33.75" customHeight="1">
      <c r="C2" s="70" t="s">
        <v>463</v>
      </c>
      <c r="D2" s="70"/>
      <c r="E2" s="70"/>
    </row>
    <row r="3" spans="3:5" ht="26.25" customHeight="1">
      <c r="C3" s="77" t="s">
        <v>288</v>
      </c>
      <c r="D3" s="77"/>
      <c r="E3" s="77"/>
    </row>
    <row r="4" spans="3:5" ht="26.25">
      <c r="C4" s="78" t="s">
        <v>16</v>
      </c>
      <c r="D4" s="78"/>
      <c r="E4" s="78"/>
    </row>
    <row r="5" ht="9" customHeight="1"/>
    <row r="6" spans="1:2" ht="12.75">
      <c r="A6" s="28" t="s">
        <v>212</v>
      </c>
      <c r="B6" s="29"/>
    </row>
    <row r="7" spans="1:2" ht="41.25" customHeight="1">
      <c r="A7" s="30" t="s">
        <v>211</v>
      </c>
      <c r="B7" s="32" t="e">
        <f>AVERAGE(B13:B20,B26:B35)</f>
        <v>#DIV/0!</v>
      </c>
    </row>
    <row r="8" spans="1:2" ht="27.75" customHeight="1">
      <c r="A8" s="30" t="s">
        <v>209</v>
      </c>
      <c r="B8" s="31">
        <f>Weightings!D15</f>
        <v>0</v>
      </c>
    </row>
    <row r="9" ht="9" customHeight="1"/>
    <row r="10" spans="1:5" ht="23.25">
      <c r="A10" s="74" t="s">
        <v>6</v>
      </c>
      <c r="B10" s="74"/>
      <c r="C10" s="74"/>
      <c r="D10" s="74"/>
      <c r="E10" s="74"/>
    </row>
    <row r="11" ht="14.25">
      <c r="A11" s="6" t="s">
        <v>9</v>
      </c>
    </row>
    <row r="12" spans="1:5" ht="15">
      <c r="A12" s="8" t="s">
        <v>465</v>
      </c>
      <c r="B12" s="9" t="s">
        <v>466</v>
      </c>
      <c r="C12" s="8" t="s">
        <v>467</v>
      </c>
      <c r="D12" s="8" t="s">
        <v>468</v>
      </c>
      <c r="E12" s="10" t="s">
        <v>469</v>
      </c>
    </row>
    <row r="13" spans="1:6" ht="30" customHeight="1">
      <c r="A13" s="1">
        <v>8.1</v>
      </c>
      <c r="B13" s="35">
        <f>IF(D13="No one",0,IF(D13="Non-dedicated resource or resources",2,IF(D13="Dedicated resource or resources",4,"")))</f>
      </c>
      <c r="C13" s="2" t="s">
        <v>369</v>
      </c>
      <c r="D13" s="33"/>
      <c r="E13" s="3">
        <f>IF(D13="No one",F13,"")</f>
      </c>
      <c r="F13" t="s">
        <v>306</v>
      </c>
    </row>
    <row r="14" spans="1:6" ht="30" customHeight="1">
      <c r="A14" s="1">
        <v>8.2</v>
      </c>
      <c r="B14" s="35">
        <f>IF(D14="No",0,IF(D14="Planning To",2,IF(D14="Yes",4,"")))</f>
      </c>
      <c r="C14" s="2" t="s">
        <v>370</v>
      </c>
      <c r="D14" s="33"/>
      <c r="E14" s="3">
        <f>IF(D14="No",F14,"")</f>
      </c>
      <c r="F14" t="s">
        <v>151</v>
      </c>
    </row>
    <row r="15" spans="1:6" ht="30" customHeight="1">
      <c r="A15" s="1">
        <v>8.3</v>
      </c>
      <c r="B15" s="35">
        <f>IF(D15="No",0,IF(D15="Planning To",2,IF(D15="Yes",4,"")))</f>
      </c>
      <c r="C15" s="2" t="s">
        <v>371</v>
      </c>
      <c r="D15" s="33"/>
      <c r="E15" s="3">
        <f>IF(D15="No",F15,"")</f>
      </c>
      <c r="F15" t="s">
        <v>152</v>
      </c>
    </row>
    <row r="16" spans="1:6" ht="30" customHeight="1">
      <c r="A16" s="1">
        <v>8.4</v>
      </c>
      <c r="B16" s="35">
        <f>IF(D16="No",0,IF(D16="Planning To",2,IF(D16="Yes",4,"")))</f>
      </c>
      <c r="C16" s="2" t="s">
        <v>372</v>
      </c>
      <c r="D16" s="33"/>
      <c r="E16" s="3">
        <f>IF(D16="No",F16,"")</f>
      </c>
      <c r="F16" t="s">
        <v>153</v>
      </c>
    </row>
    <row r="17" spans="1:6" ht="30" customHeight="1">
      <c r="A17" s="1">
        <v>8.5</v>
      </c>
      <c r="B17" s="35">
        <f>IF(D17="No",0,IF(D17="Planning To",2,IF(D17="Yes",4,"")))</f>
      </c>
      <c r="C17" s="2" t="s">
        <v>373</v>
      </c>
      <c r="D17" s="33"/>
      <c r="E17" s="3">
        <f>IF(D17="No",F17,"")</f>
      </c>
      <c r="F17" t="s">
        <v>307</v>
      </c>
    </row>
    <row r="18" spans="1:6" ht="30" customHeight="1">
      <c r="A18" s="1">
        <v>8.6</v>
      </c>
      <c r="B18" s="35">
        <f>IF(D18="No",0,IF(D18="Planning To",2,IF(D18="Yes",4,"")))</f>
      </c>
      <c r="C18" s="2" t="s">
        <v>374</v>
      </c>
      <c r="D18" s="33"/>
      <c r="E18" s="3">
        <f>IF(D18="No",F18,"")</f>
      </c>
      <c r="F18" t="s">
        <v>308</v>
      </c>
    </row>
    <row r="19" spans="1:6" ht="30" customHeight="1">
      <c r="A19" s="1">
        <v>8.7</v>
      </c>
      <c r="B19" s="35">
        <f>IF(D19="Under a desk",0,IF(D19="In an enclosed space",2,IF(D19="In an enclosed and access-controlled space",4,"")))</f>
      </c>
      <c r="C19" s="2" t="s">
        <v>375</v>
      </c>
      <c r="D19" s="33"/>
      <c r="E19" s="3">
        <f>IF(D19="Under a desk",F19,"")</f>
      </c>
      <c r="F19" t="s">
        <v>154</v>
      </c>
    </row>
    <row r="20" spans="1:6" ht="30" customHeight="1">
      <c r="A20" s="53">
        <v>8.8</v>
      </c>
      <c r="B20" s="54">
        <f>IF(D20="No training",0,IF(D20="Informal orientation on first day of employment",1,IF(D20="Job aids",2,IF(D20="Occasional training sessions",3,IF(D20="Scheduled training sessions with followup",4,"")))))</f>
      </c>
      <c r="C20" s="2" t="s">
        <v>376</v>
      </c>
      <c r="D20" s="33"/>
      <c r="E20" s="3">
        <f>IF(D20="No training",F20,"")</f>
      </c>
      <c r="F20" t="s">
        <v>155</v>
      </c>
    </row>
    <row r="21" spans="1:5" ht="30">
      <c r="A21" s="55" t="s">
        <v>210</v>
      </c>
      <c r="B21" s="56" t="e">
        <f>AVERAGE(B13:B20)</f>
        <v>#DIV/0!</v>
      </c>
      <c r="C21" s="76"/>
      <c r="D21" s="76"/>
      <c r="E21" s="76"/>
    </row>
    <row r="23" spans="1:5" ht="23.25">
      <c r="A23" s="74" t="s">
        <v>7</v>
      </c>
      <c r="B23" s="74"/>
      <c r="C23" s="74"/>
      <c r="D23" s="74"/>
      <c r="E23" s="74"/>
    </row>
    <row r="24" ht="14.25">
      <c r="A24" s="6" t="s">
        <v>8</v>
      </c>
    </row>
    <row r="25" spans="1:5" ht="14.25" customHeight="1">
      <c r="A25" s="8" t="s">
        <v>465</v>
      </c>
      <c r="B25" s="9" t="s">
        <v>466</v>
      </c>
      <c r="C25" s="8" t="s">
        <v>467</v>
      </c>
      <c r="D25" s="8" t="s">
        <v>468</v>
      </c>
      <c r="E25" s="10" t="s">
        <v>469</v>
      </c>
    </row>
    <row r="26" spans="1:6" ht="29.25" customHeight="1">
      <c r="A26" s="1">
        <v>9.1</v>
      </c>
      <c r="B26" s="35">
        <f aca="true" t="shared" si="0" ref="B26:B35">IF(D26="No",0,IF(D26="Planning To",2,IF(D26="Yes",4,"")))</f>
      </c>
      <c r="C26" s="2" t="s">
        <v>377</v>
      </c>
      <c r="D26" s="33"/>
      <c r="E26" s="3">
        <f aca="true" t="shared" si="1" ref="E26:E35">IF(D26="No",F26,"")</f>
      </c>
      <c r="F26" t="s">
        <v>309</v>
      </c>
    </row>
    <row r="27" spans="1:6" ht="29.25" customHeight="1">
      <c r="A27" s="1">
        <v>9.2</v>
      </c>
      <c r="B27" s="35">
        <f>IF(D27="Never updated",0,IF(D27="Occasionally updated",1,IF(D27="Once every year",2,IF(D27="Once every 6 months",3,IF(D27="Once per quarter",4,"")))))</f>
      </c>
      <c r="C27" s="2" t="s">
        <v>310</v>
      </c>
      <c r="D27" s="33"/>
      <c r="E27" s="3">
        <f>IF(D27="Never updated",F27,"")</f>
      </c>
      <c r="F27" t="s">
        <v>311</v>
      </c>
    </row>
    <row r="28" spans="1:6" ht="29.25" customHeight="1">
      <c r="A28" s="1">
        <v>9.3</v>
      </c>
      <c r="B28" s="35">
        <f>IF(D28="Whatever is available or cheapest",0,IF(D28="Informal research",2,IF(D28="Formal research",4,"")))</f>
      </c>
      <c r="C28" s="2" t="s">
        <v>378</v>
      </c>
      <c r="D28" s="33"/>
      <c r="E28" s="3">
        <f>IF(D28="Whatever is available or cheapest",F28,"")</f>
      </c>
      <c r="F28" t="s">
        <v>312</v>
      </c>
    </row>
    <row r="29" spans="1:6" ht="29.25" customHeight="1">
      <c r="A29" s="1">
        <v>9.4</v>
      </c>
      <c r="B29" s="35">
        <f>IF(D29="81-100%",0,IF(D29="61-80%",1,IF(D29="41-60%",2,IF(D29="21-40%",3,IF(D29="0-20%",4,"")))))</f>
      </c>
      <c r="C29" s="2" t="s">
        <v>379</v>
      </c>
      <c r="D29" s="33"/>
      <c r="E29" s="3">
        <f>IF(D29="81-100%",F29,"")</f>
      </c>
      <c r="F29" s="12" t="s">
        <v>302</v>
      </c>
    </row>
    <row r="30" spans="1:6" ht="29.25" customHeight="1">
      <c r="A30" s="1">
        <v>9.5</v>
      </c>
      <c r="B30" s="35">
        <f t="shared" si="0"/>
      </c>
      <c r="C30" s="2" t="s">
        <v>380</v>
      </c>
      <c r="D30" s="33"/>
      <c r="E30" s="3">
        <f t="shared" si="1"/>
      </c>
      <c r="F30" t="s">
        <v>313</v>
      </c>
    </row>
    <row r="31" spans="1:6" ht="29.25" customHeight="1">
      <c r="A31" s="1">
        <v>9.6</v>
      </c>
      <c r="B31" s="35">
        <f t="shared" si="0"/>
      </c>
      <c r="C31" s="2" t="s">
        <v>381</v>
      </c>
      <c r="D31" s="33"/>
      <c r="E31" s="3">
        <f t="shared" si="1"/>
      </c>
      <c r="F31" t="s">
        <v>314</v>
      </c>
    </row>
    <row r="32" spans="1:6" ht="29.25" customHeight="1">
      <c r="A32" s="1">
        <v>9.7</v>
      </c>
      <c r="B32" s="35">
        <f>IF(D32="Never updated",0,IF(D32="Occasionally updated",1,IF(D32="Once every year",2,IF(D32="Once every 6 months",3,IF(D32="Once per quarter",4,"")))))</f>
      </c>
      <c r="C32" s="2" t="s">
        <v>382</v>
      </c>
      <c r="D32" s="33"/>
      <c r="E32" s="3">
        <f>IF(D32="Never updated",F32,"")</f>
      </c>
      <c r="F32" t="s">
        <v>315</v>
      </c>
    </row>
    <row r="33" spans="1:6" ht="29.25" customHeight="1">
      <c r="A33" s="1">
        <v>9.8</v>
      </c>
      <c r="B33" s="35">
        <f t="shared" si="0"/>
      </c>
      <c r="C33" s="2" t="s">
        <v>383</v>
      </c>
      <c r="D33" s="33"/>
      <c r="E33" s="3">
        <f t="shared" si="1"/>
      </c>
      <c r="F33" t="s">
        <v>316</v>
      </c>
    </row>
    <row r="34" spans="1:6" ht="29.25" customHeight="1">
      <c r="A34" s="1">
        <v>9.9</v>
      </c>
      <c r="B34" s="35">
        <f>IF(D34="Never updated",0,IF(D34="Occasionally updated",1,IF(D34="Once every year",2,IF(D34="Once every 6 months",3,IF(D34="Once per quarter",4,"")))))</f>
      </c>
      <c r="C34" s="2" t="s">
        <v>384</v>
      </c>
      <c r="D34" s="33"/>
      <c r="E34" s="3">
        <f>IF(D34="Never updated",F34,"")</f>
      </c>
      <c r="F34" t="s">
        <v>317</v>
      </c>
    </row>
    <row r="35" spans="1:6" ht="29.25" customHeight="1">
      <c r="A35" s="57">
        <v>9.1</v>
      </c>
      <c r="B35" s="54">
        <f t="shared" si="0"/>
      </c>
      <c r="C35" s="2" t="s">
        <v>385</v>
      </c>
      <c r="D35" s="33"/>
      <c r="E35" s="3">
        <f t="shared" si="1"/>
      </c>
      <c r="F35" t="s">
        <v>318</v>
      </c>
    </row>
    <row r="36" spans="1:5" ht="30">
      <c r="A36" s="55" t="s">
        <v>210</v>
      </c>
      <c r="B36" s="56" t="e">
        <f>AVERAGE(B26:B35)</f>
        <v>#DIV/0!</v>
      </c>
      <c r="C36" s="76"/>
      <c r="D36" s="76"/>
      <c r="E36" s="76"/>
    </row>
  </sheetData>
  <mergeCells count="7">
    <mergeCell ref="A23:E23"/>
    <mergeCell ref="C21:E21"/>
    <mergeCell ref="C36:E36"/>
    <mergeCell ref="C2:E2"/>
    <mergeCell ref="C3:E3"/>
    <mergeCell ref="C4:E4"/>
    <mergeCell ref="A10:E10"/>
  </mergeCells>
  <conditionalFormatting sqref="E25 E12">
    <cfRule type="cellIs" priority="1" dxfId="0" operator="equal" stopIfTrue="1">
      <formula>0</formula>
    </cfRule>
  </conditionalFormatting>
  <conditionalFormatting sqref="B7 B36 B21">
    <cfRule type="expression" priority="2" dxfId="2" stopIfTrue="1">
      <formula>ISERROR(B7)</formula>
    </cfRule>
  </conditionalFormatting>
  <dataValidations count="8">
    <dataValidation type="list" allowBlank="1" showInputMessage="1" showErrorMessage="1" sqref="D14:D18 D26 D30:D31 D33 D35">
      <formula1>"No,Planning to,Yes"</formula1>
    </dataValidation>
    <dataValidation type="list" allowBlank="1" showInputMessage="1" showErrorMessage="1" sqref="D27">
      <formula1>"Never updated,Occasionally updated,Once every year,Once every 6 months,Once per quarter"</formula1>
    </dataValidation>
    <dataValidation type="list" allowBlank="1" showInputMessage="1" showErrorMessage="1" sqref="D19">
      <formula1>"Under a desk,In an enclosed space,In an enclosed and access-controlled space"</formula1>
    </dataValidation>
    <dataValidation type="list" allowBlank="1" showInputMessage="1" showErrorMessage="1" sqref="D20">
      <formula1>"No training,Informal orientation on first day of employment,Job aids,Occasional training sessions,Scheduled training sessions with followup"</formula1>
    </dataValidation>
    <dataValidation type="list" allowBlank="1" showInputMessage="1" showErrorMessage="1" sqref="D29">
      <formula1>"81-100%,61-80%,41-60%,21-40%,0-20%"</formula1>
    </dataValidation>
    <dataValidation type="list" allowBlank="1" showInputMessage="1" showErrorMessage="1" sqref="D28">
      <formula1>"Whatever is available or cheapest,Informal research,Formal research"</formula1>
    </dataValidation>
    <dataValidation type="list" allowBlank="1" showInputMessage="1" showErrorMessage="1" sqref="D32 D34">
      <formula1>"Never updated,Occasionally updated,Once every year,Once every 6 months,Once per quarter"</formula1>
    </dataValidation>
    <dataValidation type="list" allowBlank="1" showInputMessage="1" showErrorMessage="1" sqref="D13">
      <formula1>"No one,Non-dedicated resource or resources,Dedicated resource or resources"</formula1>
    </dataValidation>
  </dataValidations>
  <printOptions/>
  <pageMargins left="0.75" right="0.75" top="1" bottom="1" header="0.5" footer="0.5"/>
  <pageSetup fitToHeight="1" fitToWidth="1" horizontalDpi="600" verticalDpi="600" orientation="landscape" scale="50"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F51"/>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0" style="0" hidden="1" customWidth="1"/>
  </cols>
  <sheetData>
    <row r="2" spans="3:5" ht="33.75" customHeight="1">
      <c r="C2" s="70" t="s">
        <v>463</v>
      </c>
      <c r="D2" s="70"/>
      <c r="E2" s="70"/>
    </row>
    <row r="3" spans="3:5" ht="26.25" customHeight="1">
      <c r="C3" s="77" t="s">
        <v>288</v>
      </c>
      <c r="D3" s="77"/>
      <c r="E3" s="77"/>
    </row>
    <row r="4" spans="3:5" ht="26.25">
      <c r="C4" s="79" t="s">
        <v>17</v>
      </c>
      <c r="D4" s="79"/>
      <c r="E4" s="79"/>
    </row>
    <row r="5" ht="9" customHeight="1"/>
    <row r="6" spans="1:2" ht="12.75">
      <c r="A6" s="28" t="s">
        <v>212</v>
      </c>
      <c r="B6" s="29"/>
    </row>
    <row r="7" spans="1:2" ht="41.25" customHeight="1">
      <c r="A7" s="30" t="s">
        <v>211</v>
      </c>
      <c r="B7" s="32" t="e">
        <f>AVERAGE(B13:B21,B27:B35,B41:B50)</f>
        <v>#DIV/0!</v>
      </c>
    </row>
    <row r="8" spans="1:2" ht="29.25" customHeight="1">
      <c r="A8" s="30" t="s">
        <v>209</v>
      </c>
      <c r="B8" s="31">
        <f>Weightings!D16</f>
        <v>0</v>
      </c>
    </row>
    <row r="9" ht="9" customHeight="1"/>
    <row r="10" spans="1:5" ht="23.25">
      <c r="A10" s="74" t="s">
        <v>10</v>
      </c>
      <c r="B10" s="74"/>
      <c r="C10" s="74"/>
      <c r="D10" s="74"/>
      <c r="E10" s="74"/>
    </row>
    <row r="11" ht="14.25">
      <c r="A11" s="6" t="s">
        <v>13</v>
      </c>
    </row>
    <row r="12" spans="1:5" ht="15">
      <c r="A12" s="8" t="s">
        <v>465</v>
      </c>
      <c r="B12" s="9" t="s">
        <v>466</v>
      </c>
      <c r="C12" s="8" t="s">
        <v>467</v>
      </c>
      <c r="D12" s="8" t="s">
        <v>468</v>
      </c>
      <c r="E12" s="10" t="s">
        <v>469</v>
      </c>
    </row>
    <row r="13" spans="1:6" ht="30" customHeight="1">
      <c r="A13" s="1">
        <v>10.1</v>
      </c>
      <c r="B13" s="35">
        <f>IF(D13="No",0,IF(D13="Planning To",2,IF(D13="Yes",4,"")))</f>
      </c>
      <c r="C13" s="2" t="s">
        <v>386</v>
      </c>
      <c r="D13" s="33"/>
      <c r="E13" s="3">
        <f>IF(D13="No",F13,"")</f>
      </c>
      <c r="F13" t="s">
        <v>319</v>
      </c>
    </row>
    <row r="14" spans="1:6" ht="30" customHeight="1">
      <c r="A14" s="1">
        <v>10.2</v>
      </c>
      <c r="B14" s="35">
        <f>IF(D14="Nobody - we do not develop or procure",0,IF(D14="Nobody – we buy everything",1,IF(D14="Contract programmers",2,IF(D14="Non-dedicated employee/programmers",3,IF(D14="Dedicated employee/programmers",4,"")))))</f>
      </c>
      <c r="C14" s="2" t="s">
        <v>387</v>
      </c>
      <c r="D14" s="33"/>
      <c r="E14" s="3">
        <f>IF(D14="Nobody - we do not develop or procure",F14,"")</f>
      </c>
      <c r="F14" t="s">
        <v>320</v>
      </c>
    </row>
    <row r="15" spans="1:6" ht="30" customHeight="1">
      <c r="A15" s="1">
        <v>10.4</v>
      </c>
      <c r="B15" s="35">
        <f>IF(D15="No processes in place and no plans to",0,IF(D15="Developers still wing it – hope to standardize someday",1,IF(D15="Developers using ad hoc processes",2,IF(D15="Routine use of development standards",3,IF(D15="Thorough use with integration into career management",4,"")))))</f>
      </c>
      <c r="C15" s="2" t="s">
        <v>388</v>
      </c>
      <c r="D15" s="33"/>
      <c r="E15" s="3">
        <f>IF(D15="No processes in place and no plans to",F15,"")</f>
      </c>
      <c r="F15" t="s">
        <v>321</v>
      </c>
    </row>
    <row r="16" spans="1:6" ht="30" customHeight="1">
      <c r="A16" s="1">
        <v>10.5</v>
      </c>
      <c r="B16" s="35">
        <f>IF(D16="No staff and no budget for contractors",0,IF(D16="No staff but have budget for contractors",1,IF(D16="Recruitment for staff/contractors in progress",2,IF(D16="Have staff or contractors engaged",3,IF(D16="Have staff and contractors engaged",4,"")))))</f>
      </c>
      <c r="C16" s="2" t="s">
        <v>389</v>
      </c>
      <c r="D16" s="33"/>
      <c r="E16" s="3">
        <f>IF(D16="No staff and no budget for contractors",F16,"")</f>
      </c>
      <c r="F16" t="s">
        <v>322</v>
      </c>
    </row>
    <row r="17" spans="1:6" ht="30" customHeight="1">
      <c r="A17" s="1">
        <v>10.6</v>
      </c>
      <c r="B17" s="35">
        <f>IF(D17="No staff and no budget for contractors",0,IF(D17="No staff but have budget for contractors",1,IF(D17="Recruitment for staff/contractors in progress",2,IF(D17="Have staff or contractors engaged",3,IF(D17="Have staff and contractors engaged",4,"")))))</f>
      </c>
      <c r="C17" s="2" t="s">
        <v>390</v>
      </c>
      <c r="D17" s="33"/>
      <c r="E17" s="3">
        <f>IF(D17="No staff and no budget for contractors",F17,"")</f>
      </c>
      <c r="F17" t="s">
        <v>322</v>
      </c>
    </row>
    <row r="18" spans="1:6" ht="30" customHeight="1">
      <c r="A18" s="1">
        <v>10.7</v>
      </c>
      <c r="B18" s="35">
        <f>IF(D18="0-20%",0,IF(D18="21-40%",1,IF(D18="41-60%",2,IF(D18="61-80%",3,IF(D18="81-100%",4,"")))))</f>
      </c>
      <c r="C18" s="2" t="s">
        <v>391</v>
      </c>
      <c r="D18" s="33"/>
      <c r="E18" s="3">
        <f>IF(D18="0-20%",F18,"")</f>
      </c>
      <c r="F18" t="s">
        <v>220</v>
      </c>
    </row>
    <row r="19" spans="1:6" ht="30" customHeight="1">
      <c r="A19" s="1">
        <v>10.8</v>
      </c>
      <c r="B19" s="35">
        <f>IF(D19="No",0,IF(D19="Planning To",2,IF(D19="Yes",4,"")))</f>
      </c>
      <c r="C19" s="2" t="s">
        <v>392</v>
      </c>
      <c r="D19" s="33"/>
      <c r="E19" s="3">
        <f>IF(D19="No",F19,"")</f>
      </c>
      <c r="F19" t="s">
        <v>221</v>
      </c>
    </row>
    <row r="20" spans="1:6" ht="30" customHeight="1">
      <c r="A20" s="1">
        <v>10.9</v>
      </c>
      <c r="B20" s="35">
        <f>IF(D20="No",0,IF(D20="Planning To",2,IF(D20="Yes",4,"")))</f>
      </c>
      <c r="C20" s="2" t="s">
        <v>393</v>
      </c>
      <c r="D20" s="33"/>
      <c r="E20" s="3">
        <f>IF(D20="No",F20,"")</f>
      </c>
      <c r="F20" t="s">
        <v>222</v>
      </c>
    </row>
    <row r="21" spans="1:6" ht="30" customHeight="1">
      <c r="A21" s="57">
        <v>10.1</v>
      </c>
      <c r="B21" s="54">
        <f>IF(D21="0-20%",0,IF(D21="21-40%",1,IF(D21="41-60%",2,IF(D21="61-80%",3,IF(D21="81-100%",4,"")))))</f>
      </c>
      <c r="C21" s="2" t="s">
        <v>394</v>
      </c>
      <c r="D21" s="33"/>
      <c r="E21" s="3">
        <f>IF(D21="0-20%",F21,"")</f>
      </c>
      <c r="F21" t="s">
        <v>223</v>
      </c>
    </row>
    <row r="22" spans="1:5" ht="30">
      <c r="A22" s="55" t="s">
        <v>210</v>
      </c>
      <c r="B22" s="56" t="e">
        <f>AVERAGE(B13:B21)</f>
        <v>#DIV/0!</v>
      </c>
      <c r="C22" s="76"/>
      <c r="D22" s="76"/>
      <c r="E22" s="76"/>
    </row>
    <row r="24" spans="1:5" ht="23.25">
      <c r="A24" s="74" t="s">
        <v>11</v>
      </c>
      <c r="B24" s="74"/>
      <c r="C24" s="74"/>
      <c r="D24" s="74"/>
      <c r="E24" s="74"/>
    </row>
    <row r="25" ht="14.25">
      <c r="A25" s="6" t="s">
        <v>14</v>
      </c>
    </row>
    <row r="26" spans="1:5" ht="14.25" customHeight="1">
      <c r="A26" s="8" t="s">
        <v>465</v>
      </c>
      <c r="B26" s="9" t="s">
        <v>466</v>
      </c>
      <c r="C26" s="8" t="s">
        <v>467</v>
      </c>
      <c r="D26" s="8" t="s">
        <v>468</v>
      </c>
      <c r="E26" s="10" t="s">
        <v>469</v>
      </c>
    </row>
    <row r="27" spans="1:6" ht="29.25" customHeight="1">
      <c r="A27" s="1">
        <v>11.1</v>
      </c>
      <c r="B27" s="35">
        <f>IF(D27="No support at all",0,IF(D27="Informal support",2,IF(D27="Yes we have a Helpdesk",4,"")))</f>
      </c>
      <c r="C27" s="2" t="s">
        <v>395</v>
      </c>
      <c r="D27" s="33"/>
      <c r="E27" s="3">
        <f>IF(D27="No support at all",F27,"")</f>
      </c>
      <c r="F27" t="s">
        <v>224</v>
      </c>
    </row>
    <row r="28" spans="1:6" ht="29.25" customHeight="1">
      <c r="A28" s="1">
        <v>11.2</v>
      </c>
      <c r="B28" s="35">
        <f aca="true" t="shared" si="0" ref="B28:B35">IF(D28="No",0,IF(D28="Planning To",2,IF(D28="Yes",4,"")))</f>
      </c>
      <c r="C28" s="2" t="s">
        <v>396</v>
      </c>
      <c r="D28" s="33"/>
      <c r="E28" s="3">
        <f aca="true" t="shared" si="1" ref="E28:E35">IF(D28="No",F28,"")</f>
      </c>
      <c r="F28" t="s">
        <v>225</v>
      </c>
    </row>
    <row r="29" spans="1:6" ht="29.25" customHeight="1">
      <c r="A29" s="1">
        <v>11.3</v>
      </c>
      <c r="B29" s="35">
        <f>IF(D29="Simple single-user i.e. spreadsheet",0,IF(D29="Shared package",2,IF(D29="Mature &amp; implemented product",4,"")))</f>
      </c>
      <c r="C29" s="2" t="s">
        <v>397</v>
      </c>
      <c r="D29" s="33"/>
      <c r="E29" s="3">
        <f>IF(D29="Simple single-user (i.e. spreadsheet)",F29,"")</f>
      </c>
      <c r="F29" t="s">
        <v>226</v>
      </c>
    </row>
    <row r="30" spans="1:6" ht="29.25" customHeight="1">
      <c r="A30" s="1">
        <v>11.4</v>
      </c>
      <c r="B30" s="35">
        <f>IF(D30="No",0,IF(D30="Informal",2,IF(D30="Yes",4,"")))</f>
      </c>
      <c r="C30" s="2" t="s">
        <v>398</v>
      </c>
      <c r="D30" s="33"/>
      <c r="E30" s="3">
        <f t="shared" si="1"/>
      </c>
      <c r="F30" t="s">
        <v>227</v>
      </c>
    </row>
    <row r="31" spans="1:6" ht="29.25" customHeight="1">
      <c r="A31" s="1">
        <v>11.5</v>
      </c>
      <c r="B31" s="35">
        <f t="shared" si="0"/>
      </c>
      <c r="C31" s="2" t="s">
        <v>399</v>
      </c>
      <c r="D31" s="33"/>
      <c r="E31" s="3">
        <f t="shared" si="1"/>
      </c>
      <c r="F31" t="s">
        <v>228</v>
      </c>
    </row>
    <row r="32" spans="1:6" ht="29.25" customHeight="1">
      <c r="A32" s="1">
        <v>11.6</v>
      </c>
      <c r="B32" s="35">
        <f>IF(D32="No trend analysis",0,IF(D32="Simple analysis for possible future followup",2,IF(D32="Analysis and identification of technology problem areas",4,"")))</f>
      </c>
      <c r="C32" s="2" t="s">
        <v>400</v>
      </c>
      <c r="D32" s="33"/>
      <c r="E32" s="3">
        <f>IF(D32="No trend analysis",F32,"")</f>
      </c>
      <c r="F32" t="s">
        <v>229</v>
      </c>
    </row>
    <row r="33" spans="1:6" ht="29.25" customHeight="1">
      <c r="A33" s="1">
        <v>11.7</v>
      </c>
      <c r="B33" s="35">
        <f t="shared" si="0"/>
      </c>
      <c r="C33" s="2" t="s">
        <v>401</v>
      </c>
      <c r="D33" s="33"/>
      <c r="E33" s="3">
        <f t="shared" si="1"/>
      </c>
      <c r="F33" t="s">
        <v>230</v>
      </c>
    </row>
    <row r="34" spans="1:6" ht="29.25" customHeight="1">
      <c r="A34" s="1">
        <v>11.8</v>
      </c>
      <c r="B34" s="35">
        <f t="shared" si="0"/>
      </c>
      <c r="C34" s="2" t="s">
        <v>402</v>
      </c>
      <c r="D34" s="33"/>
      <c r="E34" s="3">
        <f t="shared" si="1"/>
      </c>
      <c r="F34" t="s">
        <v>231</v>
      </c>
    </row>
    <row r="35" spans="1:6" ht="29.25" customHeight="1">
      <c r="A35" s="1">
        <v>11.9</v>
      </c>
      <c r="B35" s="54">
        <f t="shared" si="0"/>
      </c>
      <c r="C35" s="2" t="s">
        <v>403</v>
      </c>
      <c r="D35" s="33"/>
      <c r="E35" s="3">
        <f t="shared" si="1"/>
      </c>
      <c r="F35" t="s">
        <v>232</v>
      </c>
    </row>
    <row r="36" spans="1:5" ht="30">
      <c r="A36" s="55" t="s">
        <v>210</v>
      </c>
      <c r="B36" s="56" t="e">
        <f>AVERAGE(B27:B35)</f>
        <v>#DIV/0!</v>
      </c>
      <c r="C36" s="76"/>
      <c r="D36" s="76"/>
      <c r="E36" s="76"/>
    </row>
    <row r="38" spans="1:5" ht="23.25">
      <c r="A38" s="74" t="s">
        <v>12</v>
      </c>
      <c r="B38" s="74"/>
      <c r="C38" s="74"/>
      <c r="D38" s="74"/>
      <c r="E38" s="74"/>
    </row>
    <row r="39" spans="1:5" ht="14.25">
      <c r="A39" s="6" t="s">
        <v>15</v>
      </c>
      <c r="B39" s="7"/>
      <c r="C39" s="7"/>
      <c r="D39" s="7"/>
      <c r="E39" s="7"/>
    </row>
    <row r="40" spans="1:5" ht="15">
      <c r="A40" s="8" t="s">
        <v>465</v>
      </c>
      <c r="B40" s="9" t="s">
        <v>466</v>
      </c>
      <c r="C40" s="8" t="s">
        <v>467</v>
      </c>
      <c r="D40" s="8" t="s">
        <v>468</v>
      </c>
      <c r="E40" s="10" t="s">
        <v>469</v>
      </c>
    </row>
    <row r="41" spans="1:6" ht="30" customHeight="1">
      <c r="A41" s="1">
        <v>12.1</v>
      </c>
      <c r="B41" s="35">
        <f aca="true" t="shared" si="2" ref="B41:B50">IF(D41="No",0,IF(D41="Planning To",2,IF(D41="Yes",4,"")))</f>
      </c>
      <c r="C41" s="2" t="s">
        <v>18</v>
      </c>
      <c r="D41" s="33"/>
      <c r="E41" s="3">
        <f aca="true" t="shared" si="3" ref="E41:E50">IF(D41="No",F41,"")</f>
      </c>
      <c r="F41" t="s">
        <v>38</v>
      </c>
    </row>
    <row r="42" spans="1:6" ht="30" customHeight="1">
      <c r="A42" s="1">
        <v>12.2</v>
      </c>
      <c r="B42" s="35">
        <f t="shared" si="2"/>
      </c>
      <c r="C42" s="2" t="s">
        <v>19</v>
      </c>
      <c r="D42" s="33"/>
      <c r="E42" s="3">
        <f t="shared" si="3"/>
      </c>
      <c r="F42" t="s">
        <v>39</v>
      </c>
    </row>
    <row r="43" spans="1:6" ht="30" customHeight="1">
      <c r="A43" s="1">
        <v>12.3</v>
      </c>
      <c r="B43" s="35">
        <f t="shared" si="2"/>
      </c>
      <c r="C43" s="2" t="s">
        <v>20</v>
      </c>
      <c r="D43" s="33"/>
      <c r="E43" s="3">
        <f t="shared" si="3"/>
      </c>
      <c r="F43" t="s">
        <v>40</v>
      </c>
    </row>
    <row r="44" spans="1:6" ht="30" customHeight="1">
      <c r="A44" s="1">
        <v>12.4</v>
      </c>
      <c r="B44" s="35">
        <f>IF(D44="Never updated",0,IF(D44="Occasionally updated",1,IF(D44="Once every year",2,IF(D44="Once every 6 months",3,IF(D44="Once per quarter",4,"")))))</f>
      </c>
      <c r="C44" s="2" t="s">
        <v>35</v>
      </c>
      <c r="D44" s="33"/>
      <c r="E44" s="3">
        <f>IF(D44="Never updated",F44,"")</f>
      </c>
      <c r="F44" t="s">
        <v>47</v>
      </c>
    </row>
    <row r="45" spans="1:6" ht="30" customHeight="1">
      <c r="A45" s="1">
        <v>12.5</v>
      </c>
      <c r="B45" s="35">
        <f>IF(D45="0-20%",0,IF(D45="21-40%",1,IF(D45="41-60%",2,IF(D45="61-80%",3,IF(D45="81-100%",4,"")))))</f>
      </c>
      <c r="C45" s="2" t="s">
        <v>36</v>
      </c>
      <c r="D45" s="33"/>
      <c r="E45" s="3">
        <f>IF(D45="0-20%",F45,"")</f>
      </c>
      <c r="F45" t="s">
        <v>41</v>
      </c>
    </row>
    <row r="46" spans="1:6" ht="30" customHeight="1">
      <c r="A46" s="1">
        <v>12.6</v>
      </c>
      <c r="B46" s="35">
        <f>IF(D46="Completely informal",0,IF(D46="Somewhat formalized",2,IF(D46="Documented and defined",4,"")))</f>
      </c>
      <c r="C46" s="2" t="s">
        <v>21</v>
      </c>
      <c r="D46" s="33"/>
      <c r="E46" s="3">
        <f>IF(D46="Completely informal",F46,"")</f>
      </c>
      <c r="F46" t="s">
        <v>48</v>
      </c>
    </row>
    <row r="47" spans="1:6" ht="30" customHeight="1">
      <c r="A47" s="1">
        <v>12.7</v>
      </c>
      <c r="B47" s="35">
        <f>IF(D47="Completely informal",0,IF(D47="Somewhat formalized",2,IF(D47="Documented and defined",4,"")))</f>
      </c>
      <c r="C47" s="2" t="s">
        <v>22</v>
      </c>
      <c r="D47" s="33"/>
      <c r="E47" s="3">
        <f>IF(D47="Completely informal",F47,"")</f>
      </c>
      <c r="F47" t="s">
        <v>42</v>
      </c>
    </row>
    <row r="48" spans="1:6" ht="30" customHeight="1">
      <c r="A48" s="1">
        <v>12.8</v>
      </c>
      <c r="B48" s="35">
        <f t="shared" si="2"/>
      </c>
      <c r="C48" s="2" t="s">
        <v>23</v>
      </c>
      <c r="D48" s="33"/>
      <c r="E48" s="3">
        <f t="shared" si="3"/>
      </c>
      <c r="F48" t="s">
        <v>44</v>
      </c>
    </row>
    <row r="49" spans="1:6" ht="30" customHeight="1">
      <c r="A49" s="1">
        <v>12.9</v>
      </c>
      <c r="B49" s="35">
        <f t="shared" si="2"/>
      </c>
      <c r="C49" s="2" t="s">
        <v>24</v>
      </c>
      <c r="D49" s="33"/>
      <c r="E49" s="3">
        <f t="shared" si="3"/>
      </c>
      <c r="F49" t="s">
        <v>45</v>
      </c>
    </row>
    <row r="50" spans="1:6" ht="30" customHeight="1">
      <c r="A50" s="57">
        <v>12.1</v>
      </c>
      <c r="B50" s="54">
        <f t="shared" si="2"/>
      </c>
      <c r="C50" s="2" t="s">
        <v>25</v>
      </c>
      <c r="D50" s="33"/>
      <c r="E50" s="3">
        <f t="shared" si="3"/>
      </c>
      <c r="F50" t="s">
        <v>46</v>
      </c>
    </row>
    <row r="51" spans="1:5" ht="30">
      <c r="A51" s="55" t="s">
        <v>210</v>
      </c>
      <c r="B51" s="56" t="e">
        <f>AVERAGE(B41:B50)</f>
        <v>#DIV/0!</v>
      </c>
      <c r="C51" s="76"/>
      <c r="D51" s="76"/>
      <c r="E51" s="76"/>
    </row>
  </sheetData>
  <mergeCells count="9">
    <mergeCell ref="C51:E51"/>
    <mergeCell ref="A24:E24"/>
    <mergeCell ref="A38:E38"/>
    <mergeCell ref="C22:E22"/>
    <mergeCell ref="C36:E36"/>
    <mergeCell ref="C2:E2"/>
    <mergeCell ref="C3:E3"/>
    <mergeCell ref="C4:E4"/>
    <mergeCell ref="A10:E10"/>
  </mergeCells>
  <conditionalFormatting sqref="E40 E26 E12">
    <cfRule type="cellIs" priority="1" dxfId="0" operator="equal" stopIfTrue="1">
      <formula>0</formula>
    </cfRule>
  </conditionalFormatting>
  <conditionalFormatting sqref="B51 B36 B7 B22">
    <cfRule type="expression" priority="2" dxfId="2" stopIfTrue="1">
      <formula>ISERROR(B7)</formula>
    </cfRule>
  </conditionalFormatting>
  <dataValidations count="11">
    <dataValidation type="list" allowBlank="1" showInputMessage="1" showErrorMessage="1" sqref="D28 D48:D50 D41:D43 D31 D33:D35 D13 D19:D20">
      <formula1>"No,Planning to,Yes"</formula1>
    </dataValidation>
    <dataValidation type="list" allowBlank="1" showInputMessage="1" showErrorMessage="1" sqref="D27">
      <formula1>"No support at all, Informal support, Yes we have a Helpdesk"</formula1>
    </dataValidation>
    <dataValidation type="list" allowBlank="1" showInputMessage="1" showErrorMessage="1" sqref="D30">
      <formula1>"No, Informal, Yes"</formula1>
    </dataValidation>
    <dataValidation type="list" allowBlank="1" showInputMessage="1" showErrorMessage="1" sqref="D29">
      <formula1>"Simple single-user i.e. spreadsheet, Shared package, Mature &amp; implemented product"</formula1>
    </dataValidation>
    <dataValidation type="list" allowBlank="1" showInputMessage="1" showErrorMessage="1" sqref="D32">
      <formula1>"No trend analysis,Simple analysis for possible future followup,Analysis and identification of technology problem areas"</formula1>
    </dataValidation>
    <dataValidation type="list" allowBlank="1" showInputMessage="1" showErrorMessage="1" sqref="D46:D47">
      <formula1>"Completely informal,Somewhat formalized,Documented and defined"</formula1>
    </dataValidation>
    <dataValidation type="list" allowBlank="1" showInputMessage="1" showErrorMessage="1" sqref="D45 D18 D21">
      <formula1>"0-20%,21-40%,41-60%,61-80%,81-100%"</formula1>
    </dataValidation>
    <dataValidation type="list" allowBlank="1" showInputMessage="1" showErrorMessage="1" sqref="D14">
      <formula1>"Nobody - we do not develop or procure,Nobody – we buy everything,Contract programmers,Non-dedicated employee/programmers,Dedicated employee/programmers"</formula1>
    </dataValidation>
    <dataValidation type="list" allowBlank="1" showInputMessage="1" showErrorMessage="1" sqref="D15">
      <formula1>"No processes in place and no plans to,Developers still wing it – hope to standardize someday,Developers using ad hoc processes,Routine use of development standards,Thorough use with integration into career management"</formula1>
    </dataValidation>
    <dataValidation type="list" allowBlank="1" showInputMessage="1" showErrorMessage="1" sqref="D16:D17">
      <formula1>"No staff and no budget for contractors,No staff but have budget for contractors,Recruitment for staff/contractors in progress,Have staff or contractors engaged,Have staff and contractors engaged"</formula1>
    </dataValidation>
    <dataValidation type="list" allowBlank="1" showInputMessage="1" showErrorMessage="1" sqref="D44">
      <formula1>"Never updated,Occasionally updated,Once every year,Once every 6 months,Once per quarter"</formula1>
    </dataValidation>
  </dataValidations>
  <printOptions/>
  <pageMargins left="0.75" right="0.75" top="1" bottom="1" header="0.5" footer="0.5"/>
  <pageSetup fitToHeight="1" fitToWidth="1" horizontalDpi="600" verticalDpi="600" orientation="portrait" scale="4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F23"/>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A1" sqref="A1"/>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0" style="0" hidden="1" customWidth="1"/>
  </cols>
  <sheetData>
    <row r="2" spans="3:5" ht="33.75" customHeight="1">
      <c r="C2" s="70" t="s">
        <v>463</v>
      </c>
      <c r="D2" s="70"/>
      <c r="E2" s="70"/>
    </row>
    <row r="3" spans="3:5" ht="26.25" customHeight="1">
      <c r="C3" s="77" t="s">
        <v>288</v>
      </c>
      <c r="D3" s="77"/>
      <c r="E3" s="77"/>
    </row>
    <row r="4" spans="3:5" ht="26.25">
      <c r="C4" s="78" t="s">
        <v>170</v>
      </c>
      <c r="D4" s="78"/>
      <c r="E4" s="78"/>
    </row>
    <row r="5" ht="9" customHeight="1"/>
    <row r="6" spans="1:2" ht="12.75">
      <c r="A6" s="28" t="s">
        <v>212</v>
      </c>
      <c r="B6" s="29"/>
    </row>
    <row r="7" spans="1:2" ht="41.25" customHeight="1">
      <c r="A7" s="30" t="s">
        <v>211</v>
      </c>
      <c r="B7" s="32" t="e">
        <f>AVERAGE(B13:B22)</f>
        <v>#DIV/0!</v>
      </c>
    </row>
    <row r="8" spans="1:2" ht="27.75" customHeight="1">
      <c r="A8" s="30" t="s">
        <v>209</v>
      </c>
      <c r="B8" s="31">
        <f>Weightings!D17</f>
        <v>0</v>
      </c>
    </row>
    <row r="9" ht="9" customHeight="1"/>
    <row r="10" spans="1:5" ht="23.25">
      <c r="A10" s="81" t="s">
        <v>171</v>
      </c>
      <c r="B10" s="82"/>
      <c r="C10" s="82"/>
      <c r="D10" s="82"/>
      <c r="E10" s="83"/>
    </row>
    <row r="11" spans="1:5" ht="14.25">
      <c r="A11" s="36" t="s">
        <v>181</v>
      </c>
      <c r="B11" s="37"/>
      <c r="C11" s="37"/>
      <c r="D11" s="37"/>
      <c r="E11" s="38"/>
    </row>
    <row r="12" spans="1:5" ht="15">
      <c r="A12" s="8" t="s">
        <v>465</v>
      </c>
      <c r="B12" s="9" t="s">
        <v>466</v>
      </c>
      <c r="C12" s="8" t="s">
        <v>467</v>
      </c>
      <c r="D12" s="8" t="s">
        <v>468</v>
      </c>
      <c r="E12" s="10" t="s">
        <v>469</v>
      </c>
    </row>
    <row r="13" spans="1:6" ht="30" customHeight="1">
      <c r="A13" s="1">
        <v>13.1</v>
      </c>
      <c r="B13" s="35">
        <f aca="true" t="shared" si="0" ref="B13:B22">IF(D13="No",0,IF(D13="Planning To",2,IF(D13="Yes",4,"")))</f>
      </c>
      <c r="C13" s="2" t="s">
        <v>182</v>
      </c>
      <c r="D13" s="33"/>
      <c r="E13" s="3">
        <f>IF(D13="No",F13,"")</f>
      </c>
      <c r="F13" t="s">
        <v>241</v>
      </c>
    </row>
    <row r="14" spans="1:6" ht="30" customHeight="1">
      <c r="A14" s="1">
        <v>13.2</v>
      </c>
      <c r="B14" s="35">
        <f t="shared" si="0"/>
      </c>
      <c r="C14" s="2" t="s">
        <v>233</v>
      </c>
      <c r="D14" s="33"/>
      <c r="E14" s="3">
        <f aca="true" t="shared" si="1" ref="E14:E22">IF(D14="No",F14,"")</f>
      </c>
      <c r="F14" t="s">
        <v>242</v>
      </c>
    </row>
    <row r="15" spans="1:6" ht="30" customHeight="1">
      <c r="A15" s="1">
        <v>13.3</v>
      </c>
      <c r="B15" s="35">
        <f t="shared" si="0"/>
      </c>
      <c r="C15" s="2" t="s">
        <v>496</v>
      </c>
      <c r="D15" s="33"/>
      <c r="E15" s="3">
        <f t="shared" si="1"/>
      </c>
      <c r="F15" t="s">
        <v>243</v>
      </c>
    </row>
    <row r="16" spans="1:6" ht="30" customHeight="1">
      <c r="A16" s="1">
        <v>13.4</v>
      </c>
      <c r="B16" s="35">
        <f t="shared" si="0"/>
      </c>
      <c r="C16" s="2" t="s">
        <v>234</v>
      </c>
      <c r="D16" s="33"/>
      <c r="E16" s="3">
        <f t="shared" si="1"/>
      </c>
      <c r="F16" t="s">
        <v>244</v>
      </c>
    </row>
    <row r="17" spans="1:6" ht="30" customHeight="1">
      <c r="A17" s="1">
        <v>13.5</v>
      </c>
      <c r="B17" s="35">
        <f t="shared" si="0"/>
      </c>
      <c r="C17" s="2" t="s">
        <v>235</v>
      </c>
      <c r="D17" s="33"/>
      <c r="E17" s="3">
        <f t="shared" si="1"/>
      </c>
      <c r="F17" t="s">
        <v>245</v>
      </c>
    </row>
    <row r="18" spans="1:6" ht="30" customHeight="1">
      <c r="A18" s="1">
        <v>13.6</v>
      </c>
      <c r="B18" s="35">
        <f t="shared" si="0"/>
      </c>
      <c r="C18" s="2" t="s">
        <v>236</v>
      </c>
      <c r="D18" s="33"/>
      <c r="E18" s="3">
        <f t="shared" si="1"/>
      </c>
      <c r="F18" t="s">
        <v>246</v>
      </c>
    </row>
    <row r="19" spans="1:6" ht="30" customHeight="1">
      <c r="A19" s="1">
        <v>13.7</v>
      </c>
      <c r="B19" s="35">
        <f t="shared" si="0"/>
      </c>
      <c r="C19" s="2" t="s">
        <v>237</v>
      </c>
      <c r="D19" s="33"/>
      <c r="E19" s="3">
        <f t="shared" si="1"/>
      </c>
      <c r="F19" t="s">
        <v>248</v>
      </c>
    </row>
    <row r="20" spans="1:6" ht="30" customHeight="1">
      <c r="A20" s="1">
        <v>13.8</v>
      </c>
      <c r="B20" s="35">
        <f t="shared" si="0"/>
      </c>
      <c r="C20" s="2" t="s">
        <v>238</v>
      </c>
      <c r="D20" s="33"/>
      <c r="E20" s="3">
        <f t="shared" si="1"/>
      </c>
      <c r="F20" t="s">
        <v>247</v>
      </c>
    </row>
    <row r="21" spans="1:6" ht="30" customHeight="1">
      <c r="A21" s="1">
        <v>13.9</v>
      </c>
      <c r="B21" s="35">
        <f t="shared" si="0"/>
      </c>
      <c r="C21" s="2" t="s">
        <v>239</v>
      </c>
      <c r="D21" s="33"/>
      <c r="E21" s="3">
        <f t="shared" si="1"/>
      </c>
      <c r="F21" t="s">
        <v>249</v>
      </c>
    </row>
    <row r="22" spans="1:6" ht="30" customHeight="1">
      <c r="A22" s="57">
        <v>13.1</v>
      </c>
      <c r="B22" s="54">
        <f t="shared" si="0"/>
      </c>
      <c r="C22" s="2" t="s">
        <v>240</v>
      </c>
      <c r="D22" s="33"/>
      <c r="E22" s="3">
        <f t="shared" si="1"/>
      </c>
      <c r="F22" t="s">
        <v>250</v>
      </c>
    </row>
    <row r="23" spans="1:5" ht="30">
      <c r="A23" s="55" t="s">
        <v>210</v>
      </c>
      <c r="B23" s="56" t="e">
        <f>AVERAGE(B13:B22)</f>
        <v>#DIV/0!</v>
      </c>
      <c r="C23" s="75"/>
      <c r="D23" s="76"/>
      <c r="E23" s="80"/>
    </row>
  </sheetData>
  <mergeCells count="5">
    <mergeCell ref="C23:E23"/>
    <mergeCell ref="C2:E2"/>
    <mergeCell ref="C3:E3"/>
    <mergeCell ref="C4:E4"/>
    <mergeCell ref="A10:E10"/>
  </mergeCells>
  <conditionalFormatting sqref="E12">
    <cfRule type="cellIs" priority="1" dxfId="0" operator="equal" stopIfTrue="1">
      <formula>0</formula>
    </cfRule>
  </conditionalFormatting>
  <conditionalFormatting sqref="B7 B23">
    <cfRule type="expression" priority="2" dxfId="2" stopIfTrue="1">
      <formula>ISERROR(B7)</formula>
    </cfRule>
  </conditionalFormatting>
  <dataValidations count="1">
    <dataValidation type="list" allowBlank="1" showInputMessage="1" showErrorMessage="1" sqref="D13:D22">
      <formula1>"No,Planning to,Yes"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F21"/>
  <sheetViews>
    <sheetView zoomScale="80" zoomScaleNormal="80" workbookViewId="0" topLeftCell="A1">
      <pane xSplit="2" ySplit="8" topLeftCell="C9" activePane="bottomRight" state="frozen"/>
      <selection pane="topLeft" activeCell="D32" sqref="D32"/>
      <selection pane="topRight" activeCell="D32" sqref="D32"/>
      <selection pane="bottomLeft" activeCell="D32" sqref="D32"/>
      <selection pane="bottomRight" activeCell="C15" sqref="C15"/>
    </sheetView>
  </sheetViews>
  <sheetFormatPr defaultColWidth="9.140625" defaultRowHeight="12.75"/>
  <cols>
    <col min="1" max="1" width="16.140625" style="0" customWidth="1"/>
    <col min="2" max="2" width="8.7109375" style="0" customWidth="1"/>
    <col min="3" max="3" width="71.421875" style="0" customWidth="1"/>
    <col min="4" max="4" width="40.8515625" style="0" customWidth="1"/>
    <col min="5" max="5" width="76.00390625" style="0" customWidth="1"/>
    <col min="6" max="6" width="48.28125" style="0" hidden="1" customWidth="1"/>
  </cols>
  <sheetData>
    <row r="2" spans="3:5" ht="33.75" customHeight="1">
      <c r="C2" s="70" t="s">
        <v>463</v>
      </c>
      <c r="D2" s="70"/>
      <c r="E2" s="70"/>
    </row>
    <row r="3" spans="3:5" ht="26.25" customHeight="1">
      <c r="C3" s="77" t="s">
        <v>288</v>
      </c>
      <c r="D3" s="77"/>
      <c r="E3" s="77"/>
    </row>
    <row r="4" spans="3:5" ht="26.25">
      <c r="C4" s="78" t="s">
        <v>172</v>
      </c>
      <c r="D4" s="78"/>
      <c r="E4" s="78"/>
    </row>
    <row r="5" ht="9" customHeight="1"/>
    <row r="6" spans="1:2" ht="12.75">
      <c r="A6" s="28" t="s">
        <v>212</v>
      </c>
      <c r="B6" s="29"/>
    </row>
    <row r="7" spans="1:2" ht="41.25" customHeight="1">
      <c r="A7" s="30" t="s">
        <v>211</v>
      </c>
      <c r="B7" s="32" t="e">
        <f>AVERAGE(B13:B20)</f>
        <v>#DIV/0!</v>
      </c>
    </row>
    <row r="8" spans="1:2" ht="27.75" customHeight="1">
      <c r="A8" s="30" t="s">
        <v>209</v>
      </c>
      <c r="B8" s="31">
        <f>Weightings!D18</f>
        <v>0</v>
      </c>
    </row>
    <row r="9" ht="9" customHeight="1"/>
    <row r="10" spans="1:5" ht="23.25">
      <c r="A10" s="81" t="s">
        <v>173</v>
      </c>
      <c r="B10" s="82"/>
      <c r="C10" s="82"/>
      <c r="D10" s="82"/>
      <c r="E10" s="83"/>
    </row>
    <row r="11" spans="1:5" ht="14.25">
      <c r="A11" s="36" t="s">
        <v>162</v>
      </c>
      <c r="B11" s="37"/>
      <c r="C11" s="37"/>
      <c r="D11" s="37"/>
      <c r="E11" s="38"/>
    </row>
    <row r="12" spans="1:5" ht="15">
      <c r="A12" s="8" t="s">
        <v>465</v>
      </c>
      <c r="B12" s="9" t="s">
        <v>466</v>
      </c>
      <c r="C12" s="8" t="s">
        <v>467</v>
      </c>
      <c r="D12" s="8" t="s">
        <v>468</v>
      </c>
      <c r="E12" s="10" t="s">
        <v>469</v>
      </c>
    </row>
    <row r="13" spans="1:6" ht="30" customHeight="1">
      <c r="A13" s="1">
        <v>14.1</v>
      </c>
      <c r="B13" s="35">
        <f aca="true" t="shared" si="0" ref="B13:B20">IF(D13="No",0,IF(D13="Planning To",2,IF(D13="Yes",4,"")))</f>
      </c>
      <c r="C13" s="3" t="s">
        <v>163</v>
      </c>
      <c r="D13" s="33"/>
      <c r="E13" s="3">
        <f>IF(D13="No",F13,"")</f>
      </c>
      <c r="F13" t="s">
        <v>472</v>
      </c>
    </row>
    <row r="14" spans="1:6" ht="30" customHeight="1">
      <c r="A14" s="1">
        <v>14.2</v>
      </c>
      <c r="B14" s="35">
        <f t="shared" si="0"/>
      </c>
      <c r="C14" s="3" t="s">
        <v>164</v>
      </c>
      <c r="D14" s="33"/>
      <c r="E14" s="3">
        <f aca="true" t="shared" si="1" ref="E14:E20">IF(D14="No",F14,"")</f>
      </c>
      <c r="F14" t="s">
        <v>473</v>
      </c>
    </row>
    <row r="15" spans="1:6" ht="30" customHeight="1">
      <c r="A15" s="1">
        <v>14.3</v>
      </c>
      <c r="B15" s="35">
        <f t="shared" si="0"/>
      </c>
      <c r="C15" s="3" t="s">
        <v>43</v>
      </c>
      <c r="D15" s="33"/>
      <c r="E15" s="3">
        <f t="shared" si="1"/>
      </c>
      <c r="F15" t="s">
        <v>474</v>
      </c>
    </row>
    <row r="16" spans="1:6" ht="30" customHeight="1">
      <c r="A16" s="1">
        <v>14.4</v>
      </c>
      <c r="B16" s="35">
        <f t="shared" si="0"/>
      </c>
      <c r="C16" s="3" t="s">
        <v>165</v>
      </c>
      <c r="D16" s="33"/>
      <c r="E16" s="3">
        <f t="shared" si="1"/>
      </c>
      <c r="F16" t="s">
        <v>478</v>
      </c>
    </row>
    <row r="17" spans="1:6" ht="30" customHeight="1">
      <c r="A17" s="1">
        <v>14.5</v>
      </c>
      <c r="B17" s="35">
        <f t="shared" si="0"/>
      </c>
      <c r="C17" s="3" t="s">
        <v>166</v>
      </c>
      <c r="D17" s="33"/>
      <c r="E17" s="3">
        <f t="shared" si="1"/>
      </c>
      <c r="F17" t="s">
        <v>475</v>
      </c>
    </row>
    <row r="18" spans="1:6" ht="30" customHeight="1">
      <c r="A18" s="1">
        <v>14.6</v>
      </c>
      <c r="B18" s="35">
        <f t="shared" si="0"/>
      </c>
      <c r="C18" s="3" t="s">
        <v>167</v>
      </c>
      <c r="D18" s="33"/>
      <c r="E18" s="3">
        <f t="shared" si="1"/>
      </c>
      <c r="F18" t="s">
        <v>471</v>
      </c>
    </row>
    <row r="19" spans="1:6" ht="30" customHeight="1">
      <c r="A19" s="1">
        <v>14.7</v>
      </c>
      <c r="B19" s="35">
        <f t="shared" si="0"/>
      </c>
      <c r="C19" s="3" t="s">
        <v>168</v>
      </c>
      <c r="D19" s="33"/>
      <c r="E19" s="3">
        <f t="shared" si="1"/>
      </c>
      <c r="F19" t="s">
        <v>477</v>
      </c>
    </row>
    <row r="20" spans="1:6" ht="30" customHeight="1">
      <c r="A20" s="53">
        <v>14.8</v>
      </c>
      <c r="B20" s="54">
        <f t="shared" si="0"/>
      </c>
      <c r="C20" s="3" t="s">
        <v>169</v>
      </c>
      <c r="D20" s="33"/>
      <c r="E20" s="3">
        <f t="shared" si="1"/>
      </c>
      <c r="F20" t="s">
        <v>476</v>
      </c>
    </row>
    <row r="21" spans="1:5" ht="30">
      <c r="A21" s="55" t="s">
        <v>210</v>
      </c>
      <c r="B21" s="56" t="e">
        <f>AVERAGE(B13:B20)</f>
        <v>#DIV/0!</v>
      </c>
      <c r="C21" s="75"/>
      <c r="D21" s="76"/>
      <c r="E21" s="80"/>
    </row>
  </sheetData>
  <sheetProtection/>
  <mergeCells count="5">
    <mergeCell ref="C21:E21"/>
    <mergeCell ref="C2:E2"/>
    <mergeCell ref="C3:E3"/>
    <mergeCell ref="C4:E4"/>
    <mergeCell ref="A10:E10"/>
  </mergeCells>
  <conditionalFormatting sqref="E12">
    <cfRule type="cellIs" priority="1" dxfId="0" operator="equal" stopIfTrue="1">
      <formula>0</formula>
    </cfRule>
  </conditionalFormatting>
  <conditionalFormatting sqref="B7 B21">
    <cfRule type="expression" priority="2" dxfId="2" stopIfTrue="1">
      <formula>ISERROR(B7)</formula>
    </cfRule>
  </conditionalFormatting>
  <dataValidations count="1">
    <dataValidation type="list" allowBlank="1" showInputMessage="1" showErrorMessage="1" sqref="D13:D20">
      <formula1>"No,Planning to,Yes"</formula1>
    </dataValidation>
  </dataValidations>
  <printOptions/>
  <pageMargins left="0.75" right="0.75" top="1" bottom="1" header="0.5" footer="0.5"/>
  <pageSetup fitToHeight="1" fitToWidth="1" horizontalDpi="600" verticalDpi="600" orientation="landscape" scale="5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Info-Tech Research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4.2 Segmented Infrastructure Model</dc:title>
  <dc:subject/>
  <dc:creator>Carmi Levy</dc:creator>
  <cp:keywords/>
  <dc:description/>
  <cp:lastModifiedBy>Matt Evans</cp:lastModifiedBy>
  <cp:lastPrinted>2004-07-12T13:19:41Z</cp:lastPrinted>
  <dcterms:created xsi:type="dcterms:W3CDTF">2004-05-06T14:47:47Z</dcterms:created>
  <dcterms:modified xsi:type="dcterms:W3CDTF">2008-07-27T13:48:21Z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-1727522289</vt:i4>
  </property>
  <property fmtid="{D5CDD505-2E9C-101B-9397-08002B2CF9AE}" pid="3" name="_EmailSubject">
    <vt:lpwstr>Infrastructure Intro &amp; Tool Feedback Needed</vt:lpwstr>
  </property>
  <property fmtid="{D5CDD505-2E9C-101B-9397-08002B2CF9AE}" pid="4" name="_AuthorEmail">
    <vt:lpwstr>clevy@infotechresearchgroup.com</vt:lpwstr>
  </property>
  <property fmtid="{D5CDD505-2E9C-101B-9397-08002B2CF9AE}" pid="5" name="_AuthorEmailDisplayName">
    <vt:lpwstr>Carmi Levy</vt:lpwstr>
  </property>
  <property fmtid="{D5CDD505-2E9C-101B-9397-08002B2CF9AE}" pid="6" name="_ReviewingToolsShownOnce">
    <vt:lpwstr/>
  </property>
</Properties>
</file>