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15" windowHeight="5475" tabRatio="708" activeTab="1"/>
  </bookViews>
  <sheets>
    <sheet name="Guide" sheetId="1" r:id="rId1"/>
    <sheet name="Staffing Plan Exhibit" sheetId="2" r:id="rId2"/>
    <sheet name="Exhibit Cost Worksheet" sheetId="3" r:id="rId3"/>
    <sheet name="Staffing Plan Template 1" sheetId="4" r:id="rId4"/>
    <sheet name="Staffing Plan Template 2" sheetId="5" r:id="rId5"/>
    <sheet name="Cost Worksheet 2" sheetId="6" r:id="rId6"/>
  </sheets>
  <externalReferences>
    <externalReference r:id="rId9"/>
  </externalReferences>
  <definedNames>
    <definedName name="\0" localSheetId="3">'Staffing Plan Template 1'!#REF!</definedName>
    <definedName name="\0" localSheetId="4">'Staffing Plan Template 2'!#REF!</definedName>
    <definedName name="\0">#REF!</definedName>
    <definedName name="FTE">'[1]FTE Calc #2'!$D$23</definedName>
    <definedName name="_xlnm.Print_Area" localSheetId="5">'Cost Worksheet 2'!$A$1:$L$42</definedName>
    <definedName name="_xlnm.Print_Area" localSheetId="2">'Exhibit Cost Worksheet'!$A$1:$L$42</definedName>
    <definedName name="_xlnm.Print_Area" localSheetId="0">'Guide'!$A$1:$B$17</definedName>
    <definedName name="_xlnm.Print_Area" localSheetId="3">'Staffing Plan Template 1'!$B$2:$G$64</definedName>
    <definedName name="_xlnm.Print_Area" localSheetId="4">'Staffing Plan Template 2'!$B$2:$M$63</definedName>
    <definedName name="_xlnm.Print_Titles" localSheetId="3">'Staffing Plan Template 1'!$2:$6</definedName>
    <definedName name="_xlnm.Print_Titles" localSheetId="4">'Staffing Plan Template 2'!$2:$5</definedName>
    <definedName name="wk">'[1]FTE Calc #2'!$D$22</definedName>
  </definedNames>
  <calcPr fullCalcOnLoad="1"/>
</workbook>
</file>

<file path=xl/sharedStrings.xml><?xml version="1.0" encoding="utf-8"?>
<sst xmlns="http://schemas.openxmlformats.org/spreadsheetml/2006/main" count="313" uniqueCount="135">
  <si>
    <t>Supervisor</t>
  </si>
  <si>
    <t>Staff</t>
  </si>
  <si>
    <t>Occupancy</t>
  </si>
  <si>
    <t>Total</t>
  </si>
  <si>
    <t>Manager</t>
  </si>
  <si>
    <t>Total $/Mo</t>
  </si>
  <si>
    <t>Number of FTE</t>
  </si>
  <si>
    <t>Annual Salary Midpoint</t>
  </si>
  <si>
    <t>Monthly Salary &amp; Benefits</t>
  </si>
  <si>
    <t>Monthly Occupancy</t>
  </si>
  <si>
    <t>Monthly Equipment &amp; Supplies</t>
  </si>
  <si>
    <t>Total Monthly  $ per FTE</t>
  </si>
  <si>
    <t>Monthly Cost</t>
  </si>
  <si>
    <t>Assistant Manager</t>
  </si>
  <si>
    <t>Assistant Mgr</t>
  </si>
  <si>
    <t>T&amp;E</t>
  </si>
  <si>
    <t>Equip &amp; Supplies</t>
  </si>
  <si>
    <t>Total Cost/Month</t>
  </si>
  <si>
    <t>Job Positions</t>
  </si>
  <si>
    <t>1)  Monthly Cost: salary and benefits by job position</t>
  </si>
  <si>
    <t>Total Annual Cost/FTE</t>
  </si>
  <si>
    <t>Monthly Cost/FTE</t>
  </si>
  <si>
    <t>Strategic Shared Services Call Center (In-house)</t>
  </si>
  <si>
    <t>IT Category Monthly Expenses</t>
  </si>
  <si>
    <t>Telecom</t>
  </si>
  <si>
    <t>IT</t>
  </si>
  <si>
    <t>4)  Depreciation, Equipment and Supplies: Monthly Expenses</t>
  </si>
  <si>
    <t>Cost Worksheet</t>
  </si>
  <si>
    <t>Totals</t>
  </si>
  <si>
    <t>Standard</t>
  </si>
  <si>
    <t>Other IT</t>
  </si>
  <si>
    <t>Amortization Existing  (IT only)</t>
  </si>
  <si>
    <t>Depreciation (IT Fixed assets &amp; Facilities)</t>
  </si>
  <si>
    <t>Depreciation (non IT Fixed assets &amp; Facilities)</t>
  </si>
  <si>
    <t>Cost per SqFt/Month</t>
  </si>
  <si>
    <t>2)  Occupancy Cost (Rent &amp; Utilities)</t>
  </si>
  <si>
    <t>Sq Ft</t>
  </si>
  <si>
    <t>Notes</t>
  </si>
  <si>
    <t>3)  Call Center Cost</t>
  </si>
  <si>
    <t>Total Cost/
Month</t>
  </si>
  <si>
    <t>This cost worksheet provides the ability to easily update cost changes without modifying any Workload Calculation sheet formulas.</t>
  </si>
  <si>
    <t>Standard Cost</t>
  </si>
  <si>
    <t>Total Monthly Cost</t>
  </si>
  <si>
    <t>Mgmt Overhead</t>
  </si>
  <si>
    <t>Salary &amp; Benefits</t>
  </si>
  <si>
    <t>Monthly Required FTE</t>
  </si>
  <si>
    <t>Required Hours</t>
  </si>
  <si>
    <t>Process Time (mins)</t>
  </si>
  <si>
    <t>Avg Monthly Volume</t>
  </si>
  <si>
    <t xml:space="preserve">Processes &amp; Activities </t>
  </si>
  <si>
    <t xml:space="preserve">Supplemental (Outsourced) Call Center </t>
  </si>
  <si>
    <t>Process 1</t>
  </si>
  <si>
    <t>Process 2</t>
  </si>
  <si>
    <t>Process 3</t>
  </si>
  <si>
    <t>Process 4</t>
  </si>
  <si>
    <t>Process 5</t>
  </si>
  <si>
    <t>Activity 1</t>
  </si>
  <si>
    <t>Activity 2</t>
  </si>
  <si>
    <t>Activity 3</t>
  </si>
  <si>
    <t>Activity 4</t>
  </si>
  <si>
    <t>Activity 5</t>
  </si>
  <si>
    <t>Activity 6</t>
  </si>
  <si>
    <t>Activity 7</t>
  </si>
  <si>
    <t>Activity 8</t>
  </si>
  <si>
    <t>Activity 9</t>
  </si>
  <si>
    <t>Activity 10</t>
  </si>
  <si>
    <t>Job Position 1</t>
  </si>
  <si>
    <t>Job Position 2</t>
  </si>
  <si>
    <t>Job Position 3</t>
  </si>
  <si>
    <t>Job Position 4</t>
  </si>
  <si>
    <t>Job Position 5</t>
  </si>
  <si>
    <t>Job Position 6</t>
  </si>
  <si>
    <t>see cell H9 in Workload Calculation sheet</t>
  </si>
  <si>
    <t>Annual Benefits Percent</t>
  </si>
  <si>
    <t xml:space="preserve"> </t>
  </si>
  <si>
    <t>Average management cost per staff person per month</t>
  </si>
  <si>
    <t>5)  Management Overhead Ratio</t>
  </si>
  <si>
    <t>Total Staff</t>
  </si>
  <si>
    <t>(888) 444-2210</t>
  </si>
  <si>
    <t>client.services@orientpoint.com</t>
  </si>
  <si>
    <t>Instructions about assembling and using this template are available at a free staffing model webinar. Register for this webinar at:</t>
  </si>
  <si>
    <t>http://www.staffingmodel.com</t>
  </si>
  <si>
    <t>http://www.orientpoint.com/FileRoom_Staffing_Model.htm</t>
  </si>
  <si>
    <t>For more information about work measurement, activity costing, or staffing models go to:</t>
  </si>
  <si>
    <r>
      <t xml:space="preserve">Yellow cells require your input.
</t>
    </r>
    <r>
      <rPr>
        <b/>
        <u val="single"/>
        <sz val="10"/>
        <color indexed="8"/>
        <rFont val="Verdana"/>
        <family val="2"/>
      </rPr>
      <t xml:space="preserve">CHECK cells C11, C13, and C19 </t>
    </r>
    <r>
      <rPr>
        <b/>
        <sz val="10"/>
        <color indexed="8"/>
        <rFont val="Verdana"/>
        <family val="2"/>
      </rPr>
      <t>for dependant volume formulas. Consider using these dependent volume formulas because they will usually make your worksheet more accurate than using raw volumes and they will reduce the volume capture effort.</t>
    </r>
  </si>
  <si>
    <t>Green cells contain formulas that should be overwritten for your final worksheet calculations</t>
  </si>
  <si>
    <t>Pink cells have formulas that should not be overwritten unless you want to permanently modify the calculations</t>
  </si>
  <si>
    <t>We suggest you save a copy marked "ORIGINAL" as a recovery copy in case you inadvertently corrupt a subsequent version.</t>
  </si>
  <si>
    <t>Endorsements &amp; Cancellation:</t>
  </si>
  <si>
    <t>Policy Assembly</t>
  </si>
  <si>
    <t>Filing of endorsement  instruction</t>
  </si>
  <si>
    <t xml:space="preserve">Quotes </t>
  </si>
  <si>
    <t>Referral</t>
  </si>
  <si>
    <t>Filing</t>
  </si>
  <si>
    <t>Issue renewal notice</t>
  </si>
  <si>
    <t>Prepare batch summary for manual booking</t>
  </si>
  <si>
    <t>Filing of uw copy</t>
  </si>
  <si>
    <t>Issue renewal policy</t>
  </si>
  <si>
    <t>Issue endorsement (Manual)</t>
  </si>
  <si>
    <t>Issue Loss of use policy (Manual)</t>
  </si>
  <si>
    <t>Prepare coverage/peril for booking - manual end.</t>
  </si>
  <si>
    <t>Outgoing request for additional information</t>
  </si>
  <si>
    <t>Issue New Policies (HNW)</t>
  </si>
  <si>
    <t>Issue New Policies (Commercial-Plus)</t>
  </si>
  <si>
    <t>Review &amp; Accept/Decline apps</t>
  </si>
  <si>
    <t>Issue endorsement (System)</t>
  </si>
  <si>
    <t xml:space="preserve">Manual Booking </t>
  </si>
  <si>
    <t>Assemble and prep renewal  notices</t>
  </si>
  <si>
    <t>Complete app. &amp; Prep dat entry sheet</t>
  </si>
  <si>
    <t>Retrieve master policy for endorsement check</t>
  </si>
  <si>
    <t>Total Process Cost</t>
  </si>
  <si>
    <t>Renewal report</t>
  </si>
  <si>
    <t>Adjust renewal notice items</t>
  </si>
  <si>
    <t>Sort &amp; send to U/W</t>
  </si>
  <si>
    <t>New Policy Process</t>
  </si>
  <si>
    <t>Renewal Process</t>
  </si>
  <si>
    <t>1 FTE =</t>
  </si>
  <si>
    <t>Assemble policy documents</t>
  </si>
  <si>
    <t>Endorsement request</t>
  </si>
  <si>
    <t>Validate information</t>
  </si>
  <si>
    <t xml:space="preserve">5)  Management Cost </t>
  </si>
  <si>
    <t>Department</t>
  </si>
  <si>
    <t>Training</t>
  </si>
  <si>
    <t>Other Monthly Expenses</t>
  </si>
  <si>
    <t>Total non-managerial number of FTE</t>
  </si>
  <si>
    <t>Contact us:</t>
  </si>
  <si>
    <t>Staffing Plan: Workload &amp; Cost Calculation Template
Insurance Processing Center Exhibit</t>
  </si>
  <si>
    <t xml:space="preserve">Staffing Planl: Workload &amp; Cost Calculation Template
</t>
  </si>
  <si>
    <t xml:space="preserve">  Staffing Plan: Workload, FTE, &amp; Cost Calculation Workbook Guide</t>
  </si>
  <si>
    <t>This staffing plan template calculates workload, FTE (full time equivalent) requirements, and process activity costs.</t>
  </si>
  <si>
    <t>The Cost worksheet tables allow you to modify costs as they change without modifying any cost formulas in the Workload/FTE sheet.</t>
  </si>
  <si>
    <t xml:space="preserve"> Staffing Plan Template
</t>
  </si>
  <si>
    <t>7 hrs X 22</t>
  </si>
  <si>
    <t>We have specialized staffing plans for insurance and banking. Contact us for them.</t>
  </si>
  <si>
    <t>http://www.orientpoint.com/_private/webinar_registration.htm</t>
  </si>
</sst>
</file>

<file path=xl/styles.xml><?xml version="1.0" encoding="utf-8"?>
<styleSheet xmlns="http://schemas.openxmlformats.org/spreadsheetml/2006/main">
  <numFmts count="4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00_)"/>
    <numFmt numFmtId="174" formatCode="0_)"/>
    <numFmt numFmtId="175" formatCode="0.0_)"/>
    <numFmt numFmtId="176" formatCode="0.0%"/>
    <numFmt numFmtId="177" formatCode="0.0"/>
    <numFmt numFmtId="178" formatCode="#,##0.0"/>
    <numFmt numFmtId="179" formatCode="_(&quot;$&quot;* #,##0_);_(&quot;$&quot;* \(#,##0\);_(&quot;$&quot;* &quot;-&quot;??_);_(@_)"/>
    <numFmt numFmtId="180" formatCode="&quot;$&quot;#,##0.00"/>
    <numFmt numFmtId="181" formatCode="_(* #,##0_);_(* \(#,##0\);_(* &quot;-&quot;??_);_(@_)"/>
    <numFmt numFmtId="182" formatCode="_-* #,##0_-;\-* #,##0_-;_-* &quot;-&quot;??_-;_-@_-"/>
    <numFmt numFmtId="183" formatCode="_-[$฿-41E]* #,##0.00_-;\-[$฿-41E]* #,##0.00_-;_-[$฿-41E]* &quot;-&quot;??_-;_-@_-"/>
    <numFmt numFmtId="184" formatCode="_(* #,##0.000_);_(* \(#,##0.00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0"/>
    <numFmt numFmtId="193" formatCode="0.00000000000"/>
    <numFmt numFmtId="194" formatCode="0.000000000000"/>
    <numFmt numFmtId="195" formatCode="0.000000000"/>
  </numFmts>
  <fonts count="65">
    <font>
      <sz val="10"/>
      <color indexed="8"/>
      <name val="Times New Roman"/>
      <family val="0"/>
    </font>
    <font>
      <sz val="12"/>
      <color indexed="8"/>
      <name val="Times New Roman"/>
      <family val="0"/>
    </font>
    <font>
      <b/>
      <sz val="10"/>
      <color indexed="8"/>
      <name val="Times New Roman"/>
      <family val="0"/>
    </font>
    <font>
      <b/>
      <sz val="14"/>
      <color indexed="8"/>
      <name val="Times New Roman"/>
      <family val="0"/>
    </font>
    <font>
      <u val="single"/>
      <sz val="10"/>
      <color indexed="12"/>
      <name val="Times New Roman"/>
      <family val="0"/>
    </font>
    <font>
      <u val="single"/>
      <sz val="10"/>
      <color indexed="36"/>
      <name val="Times New Roman"/>
      <family val="0"/>
    </font>
    <font>
      <b/>
      <sz val="10"/>
      <color indexed="8"/>
      <name val="Verdana"/>
      <family val="2"/>
    </font>
    <font>
      <sz val="10"/>
      <color indexed="8"/>
      <name val="Verdana"/>
      <family val="2"/>
    </font>
    <font>
      <sz val="10"/>
      <name val="Verdana"/>
      <family val="2"/>
    </font>
    <font>
      <sz val="10"/>
      <color indexed="10"/>
      <name val="Verdana"/>
      <family val="2"/>
    </font>
    <font>
      <sz val="9"/>
      <color indexed="8"/>
      <name val="Verdana"/>
      <family val="2"/>
    </font>
    <font>
      <sz val="9"/>
      <name val="Verdana"/>
      <family val="2"/>
    </font>
    <font>
      <b/>
      <sz val="9"/>
      <color indexed="8"/>
      <name val="Verdana"/>
      <family val="2"/>
    </font>
    <font>
      <sz val="9"/>
      <color indexed="10"/>
      <name val="Verdana"/>
      <family val="2"/>
    </font>
    <font>
      <b/>
      <u val="single"/>
      <sz val="9"/>
      <color indexed="8"/>
      <name val="Verdana"/>
      <family val="2"/>
    </font>
    <font>
      <b/>
      <sz val="9"/>
      <name val="Verdana"/>
      <family val="2"/>
    </font>
    <font>
      <b/>
      <sz val="10"/>
      <name val="Verdana"/>
      <family val="2"/>
    </font>
    <font>
      <u val="single"/>
      <sz val="10"/>
      <name val="Verdana"/>
      <family val="2"/>
    </font>
    <font>
      <u val="single"/>
      <sz val="10"/>
      <color indexed="8"/>
      <name val="Verdana"/>
      <family val="2"/>
    </font>
    <font>
      <b/>
      <sz val="10"/>
      <color indexed="10"/>
      <name val="Verdana"/>
      <family val="2"/>
    </font>
    <font>
      <b/>
      <u val="single"/>
      <sz val="10"/>
      <color indexed="8"/>
      <name val="Verdana"/>
      <family val="2"/>
    </font>
    <font>
      <b/>
      <i/>
      <sz val="9"/>
      <color indexed="10"/>
      <name val="Verdana"/>
      <family val="2"/>
    </font>
    <font>
      <b/>
      <sz val="12"/>
      <color indexed="8"/>
      <name val="Verdana"/>
      <family val="2"/>
    </font>
    <font>
      <b/>
      <sz val="14"/>
      <color indexed="8"/>
      <name val="Verdana"/>
      <family val="2"/>
    </font>
    <font>
      <b/>
      <sz val="12"/>
      <color indexed="18"/>
      <name val="Verdana"/>
      <family val="2"/>
    </font>
    <font>
      <b/>
      <sz val="10"/>
      <color indexed="18"/>
      <name val="Verdana"/>
      <family val="2"/>
    </font>
    <font>
      <b/>
      <sz val="9"/>
      <color indexed="10"/>
      <name val="Verdana"/>
      <family val="2"/>
    </font>
    <font>
      <b/>
      <u val="single"/>
      <sz val="10"/>
      <color indexed="12"/>
      <name val="Arial"/>
      <family val="2"/>
    </font>
    <font>
      <sz val="12"/>
      <color indexed="8"/>
      <name val="Verdana"/>
      <family val="2"/>
    </font>
    <font>
      <b/>
      <sz val="16"/>
      <color indexed="8"/>
      <name val="Verdana"/>
      <family val="2"/>
    </font>
    <font>
      <sz val="8"/>
      <name val="Times New Roman"/>
      <family val="0"/>
    </font>
    <font>
      <b/>
      <u val="single"/>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color indexed="63"/>
      </left>
      <right style="thin"/>
      <top style="thin"/>
      <bottom style="thin"/>
    </border>
    <border>
      <left style="double"/>
      <right>
        <color indexed="63"/>
      </right>
      <top style="thin"/>
      <bottom>
        <color indexed="63"/>
      </bottom>
    </border>
    <border>
      <left style="medium"/>
      <right>
        <color indexed="63"/>
      </right>
      <top style="thin"/>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color indexed="63"/>
      </top>
      <bottom style="medium"/>
    </border>
    <border>
      <left>
        <color indexed="63"/>
      </left>
      <right style="double"/>
      <top style="thin"/>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6">
    <xf numFmtId="0" fontId="0" fillId="0" borderId="0" xfId="0" applyAlignment="1">
      <alignment/>
    </xf>
    <xf numFmtId="0" fontId="7" fillId="33" borderId="10" xfId="0" applyFont="1" applyFill="1" applyBorder="1" applyAlignment="1">
      <alignment/>
    </xf>
    <xf numFmtId="0" fontId="6" fillId="33" borderId="11" xfId="0" applyFont="1" applyFill="1" applyBorder="1" applyAlignment="1">
      <alignment/>
    </xf>
    <xf numFmtId="180" fontId="7" fillId="33" borderId="12" xfId="0" applyNumberFormat="1" applyFont="1" applyFill="1" applyBorder="1" applyAlignment="1">
      <alignment horizontal="center"/>
    </xf>
    <xf numFmtId="0" fontId="7" fillId="33" borderId="13" xfId="0" applyFont="1" applyFill="1" applyBorder="1" applyAlignment="1">
      <alignment horizontal="center"/>
    </xf>
    <xf numFmtId="0" fontId="7" fillId="33" borderId="11"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3" fontId="9" fillId="33" borderId="0" xfId="44" applyNumberFormat="1" applyFont="1" applyFill="1" applyBorder="1" applyAlignment="1">
      <alignment horizontal="center"/>
    </xf>
    <xf numFmtId="0" fontId="7" fillId="33" borderId="15" xfId="0" applyFont="1" applyFill="1" applyBorder="1" applyAlignment="1">
      <alignment/>
    </xf>
    <xf numFmtId="0" fontId="7" fillId="33" borderId="16" xfId="0" applyFont="1" applyFill="1" applyBorder="1" applyAlignment="1">
      <alignment/>
    </xf>
    <xf numFmtId="0" fontId="10" fillId="33" borderId="0" xfId="0" applyFont="1" applyFill="1" applyBorder="1" applyAlignment="1">
      <alignment/>
    </xf>
    <xf numFmtId="0" fontId="10" fillId="33" borderId="14" xfId="0" applyFont="1" applyFill="1" applyBorder="1" applyAlignment="1">
      <alignment/>
    </xf>
    <xf numFmtId="3" fontId="7" fillId="33" borderId="0" xfId="0" applyNumberFormat="1" applyFont="1" applyFill="1" applyBorder="1" applyAlignment="1">
      <alignment horizontal="center"/>
    </xf>
    <xf numFmtId="3" fontId="7" fillId="33" borderId="15" xfId="0" applyNumberFormat="1" applyFont="1" applyFill="1" applyBorder="1" applyAlignment="1">
      <alignment horizontal="center"/>
    </xf>
    <xf numFmtId="0" fontId="10" fillId="33" borderId="0" xfId="0" applyFont="1" applyFill="1" applyAlignment="1">
      <alignment/>
    </xf>
    <xf numFmtId="0" fontId="14" fillId="33" borderId="0" xfId="0" applyFont="1" applyFill="1" applyBorder="1" applyAlignment="1">
      <alignment/>
    </xf>
    <xf numFmtId="9" fontId="11" fillId="33" borderId="0" xfId="59" applyFont="1" applyFill="1" applyBorder="1" applyAlignment="1">
      <alignment/>
    </xf>
    <xf numFmtId="165" fontId="11" fillId="33" borderId="0" xfId="59" applyNumberFormat="1" applyFont="1" applyFill="1" applyBorder="1" applyAlignment="1">
      <alignment/>
    </xf>
    <xf numFmtId="179" fontId="11" fillId="33" borderId="0" xfId="44" applyNumberFormat="1" applyFont="1" applyFill="1" applyBorder="1" applyAlignment="1">
      <alignment/>
    </xf>
    <xf numFmtId="0" fontId="10" fillId="33" borderId="0" xfId="0" applyFont="1" applyFill="1" applyAlignment="1">
      <alignment horizontal="center"/>
    </xf>
    <xf numFmtId="0" fontId="13" fillId="33" borderId="0" xfId="0" applyFont="1" applyFill="1" applyAlignment="1">
      <alignment/>
    </xf>
    <xf numFmtId="0" fontId="16" fillId="34" borderId="11" xfId="0" applyFont="1" applyFill="1" applyBorder="1" applyAlignment="1" quotePrefix="1">
      <alignment/>
    </xf>
    <xf numFmtId="3" fontId="16" fillId="34" borderId="0" xfId="0" applyNumberFormat="1" applyFont="1" applyFill="1" applyBorder="1" applyAlignment="1">
      <alignment/>
    </xf>
    <xf numFmtId="0" fontId="7" fillId="34" borderId="0" xfId="0" applyFont="1" applyFill="1" applyBorder="1" applyAlignment="1">
      <alignment/>
    </xf>
    <xf numFmtId="3" fontId="7" fillId="34" borderId="0" xfId="0" applyNumberFormat="1" applyFont="1" applyFill="1" applyBorder="1" applyAlignment="1">
      <alignment/>
    </xf>
    <xf numFmtId="0" fontId="7" fillId="34" borderId="14"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9" fontId="17" fillId="33" borderId="13" xfId="59" applyFont="1" applyFill="1" applyBorder="1" applyAlignment="1">
      <alignment horizontal="center"/>
    </xf>
    <xf numFmtId="0" fontId="18" fillId="33" borderId="13" xfId="0" applyFont="1" applyFill="1" applyBorder="1" applyAlignment="1">
      <alignment/>
    </xf>
    <xf numFmtId="0" fontId="7" fillId="33" borderId="17" xfId="0" applyFont="1" applyFill="1" applyBorder="1" applyAlignment="1">
      <alignment/>
    </xf>
    <xf numFmtId="3" fontId="8" fillId="33" borderId="0" xfId="44" applyNumberFormat="1" applyFont="1" applyFill="1" applyBorder="1" applyAlignment="1">
      <alignment horizontal="center"/>
    </xf>
    <xf numFmtId="4" fontId="8" fillId="33" borderId="0" xfId="44" applyNumberFormat="1" applyFont="1" applyFill="1" applyBorder="1" applyAlignment="1">
      <alignment horizontal="center"/>
    </xf>
    <xf numFmtId="3" fontId="8" fillId="33" borderId="15" xfId="44" applyNumberFormat="1" applyFont="1" applyFill="1" applyBorder="1" applyAlignment="1">
      <alignment horizontal="center"/>
    </xf>
    <xf numFmtId="4" fontId="8" fillId="33" borderId="15" xfId="44" applyNumberFormat="1" applyFont="1" applyFill="1" applyBorder="1" applyAlignment="1">
      <alignment horizontal="center"/>
    </xf>
    <xf numFmtId="3" fontId="8" fillId="33" borderId="13" xfId="44" applyNumberFormat="1" applyFont="1" applyFill="1" applyBorder="1" applyAlignment="1">
      <alignment horizontal="center"/>
    </xf>
    <xf numFmtId="4" fontId="8" fillId="33" borderId="13" xfId="44" applyNumberFormat="1" applyFont="1" applyFill="1" applyBorder="1" applyAlignment="1">
      <alignment horizontal="center"/>
    </xf>
    <xf numFmtId="0" fontId="7" fillId="33" borderId="11" xfId="0" applyFont="1" applyFill="1" applyBorder="1" applyAlignment="1">
      <alignment horizontal="left"/>
    </xf>
    <xf numFmtId="0" fontId="7" fillId="33" borderId="10" xfId="0" applyFont="1" applyFill="1" applyBorder="1" applyAlignment="1">
      <alignment horizontal="left"/>
    </xf>
    <xf numFmtId="0" fontId="6" fillId="34" borderId="11" xfId="0" applyFont="1" applyFill="1" applyBorder="1" applyAlignment="1" quotePrefix="1">
      <alignment/>
    </xf>
    <xf numFmtId="3" fontId="8" fillId="34" borderId="0" xfId="44" applyNumberFormat="1" applyFont="1" applyFill="1" applyBorder="1" applyAlignment="1">
      <alignment horizontal="center"/>
    </xf>
    <xf numFmtId="4" fontId="8" fillId="34" borderId="0" xfId="44" applyNumberFormat="1" applyFont="1" applyFill="1" applyBorder="1" applyAlignment="1">
      <alignment horizontal="center"/>
    </xf>
    <xf numFmtId="3" fontId="8" fillId="33" borderId="17" xfId="44" applyNumberFormat="1" applyFont="1" applyFill="1" applyBorder="1" applyAlignment="1">
      <alignment horizontal="center"/>
    </xf>
    <xf numFmtId="3" fontId="8" fillId="33" borderId="14" xfId="44" applyNumberFormat="1" applyFont="1" applyFill="1" applyBorder="1" applyAlignment="1">
      <alignment horizontal="center"/>
    </xf>
    <xf numFmtId="0" fontId="7" fillId="34" borderId="18" xfId="0" applyFont="1" applyFill="1" applyBorder="1" applyAlignment="1">
      <alignment/>
    </xf>
    <xf numFmtId="3" fontId="8" fillId="34" borderId="18" xfId="44" applyNumberFormat="1" applyFont="1" applyFill="1" applyBorder="1" applyAlignment="1">
      <alignment horizontal="center"/>
    </xf>
    <xf numFmtId="0" fontId="7" fillId="34" borderId="19" xfId="0" applyFont="1" applyFill="1" applyBorder="1" applyAlignment="1">
      <alignment/>
    </xf>
    <xf numFmtId="3" fontId="19" fillId="33" borderId="0" xfId="0" applyNumberFormat="1" applyFont="1" applyFill="1" applyBorder="1" applyAlignment="1">
      <alignment horizontal="center"/>
    </xf>
    <xf numFmtId="0" fontId="9" fillId="33" borderId="16" xfId="0" applyFont="1" applyFill="1" applyBorder="1" applyAlignment="1">
      <alignment/>
    </xf>
    <xf numFmtId="0" fontId="6" fillId="34" borderId="20" xfId="0" applyFont="1" applyFill="1" applyBorder="1" applyAlignment="1" quotePrefix="1">
      <alignment/>
    </xf>
    <xf numFmtId="3" fontId="7" fillId="34" borderId="18" xfId="0" applyNumberFormat="1" applyFont="1" applyFill="1" applyBorder="1" applyAlignment="1">
      <alignment horizontal="center"/>
    </xf>
    <xf numFmtId="0" fontId="7" fillId="33" borderId="11" xfId="0" applyFont="1" applyFill="1" applyBorder="1" applyAlignment="1">
      <alignment vertical="center"/>
    </xf>
    <xf numFmtId="3" fontId="7" fillId="33" borderId="0" xfId="0" applyNumberFormat="1" applyFont="1" applyFill="1" applyBorder="1" applyAlignment="1">
      <alignment horizontal="center" vertical="center"/>
    </xf>
    <xf numFmtId="3" fontId="7" fillId="33" borderId="0" xfId="0" applyNumberFormat="1" applyFont="1" applyFill="1" applyBorder="1" applyAlignment="1">
      <alignment/>
    </xf>
    <xf numFmtId="3" fontId="7" fillId="33" borderId="14" xfId="0" applyNumberFormat="1" applyFont="1" applyFill="1" applyBorder="1" applyAlignment="1">
      <alignment/>
    </xf>
    <xf numFmtId="0" fontId="7" fillId="33" borderId="0" xfId="0" applyFont="1" applyFill="1" applyAlignment="1">
      <alignment/>
    </xf>
    <xf numFmtId="0" fontId="7" fillId="33" borderId="0" xfId="0" applyFont="1" applyFill="1" applyAlignment="1">
      <alignment horizontal="center"/>
    </xf>
    <xf numFmtId="0" fontId="20" fillId="33" borderId="0" xfId="0" applyFont="1" applyFill="1" applyBorder="1" applyAlignment="1">
      <alignment horizontal="center"/>
    </xf>
    <xf numFmtId="0" fontId="7" fillId="35" borderId="17" xfId="0" applyFont="1" applyFill="1" applyBorder="1" applyAlignment="1">
      <alignment/>
    </xf>
    <xf numFmtId="0" fontId="6" fillId="35" borderId="20" xfId="0" applyFont="1" applyFill="1" applyBorder="1" applyAlignment="1" quotePrefix="1">
      <alignment vertical="center"/>
    </xf>
    <xf numFmtId="0" fontId="7" fillId="35" borderId="13" xfId="0" applyFont="1" applyFill="1" applyBorder="1" applyAlignment="1">
      <alignment/>
    </xf>
    <xf numFmtId="0" fontId="10" fillId="36" borderId="0" xfId="0" applyFont="1" applyFill="1" applyBorder="1" applyAlignment="1">
      <alignment vertical="center"/>
    </xf>
    <xf numFmtId="0" fontId="11" fillId="36" borderId="0" xfId="0" applyFont="1" applyFill="1" applyAlignment="1">
      <alignment vertical="center"/>
    </xf>
    <xf numFmtId="177" fontId="11" fillId="36" borderId="0" xfId="0" applyNumberFormat="1" applyFont="1" applyFill="1" applyAlignment="1">
      <alignment vertical="center"/>
    </xf>
    <xf numFmtId="0" fontId="10" fillId="36" borderId="0" xfId="0" applyFont="1" applyFill="1" applyAlignment="1">
      <alignment vertical="center"/>
    </xf>
    <xf numFmtId="0" fontId="15" fillId="33" borderId="0" xfId="0" applyFont="1" applyFill="1" applyBorder="1" applyAlignment="1">
      <alignment horizontal="center" vertical="center"/>
    </xf>
    <xf numFmtId="177" fontId="15" fillId="33" borderId="0" xfId="0" applyNumberFormat="1"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0" xfId="0" applyFont="1" applyFill="1" applyBorder="1" applyAlignment="1">
      <alignment horizontal="center" vertical="center"/>
    </xf>
    <xf numFmtId="176" fontId="11" fillId="36" borderId="0" xfId="59" applyNumberFormat="1" applyFont="1" applyFill="1" applyAlignment="1">
      <alignment vertical="center"/>
    </xf>
    <xf numFmtId="0" fontId="11" fillId="36" borderId="0" xfId="0" applyFont="1" applyFill="1" applyBorder="1" applyAlignment="1">
      <alignment vertical="center"/>
    </xf>
    <xf numFmtId="176" fontId="10" fillId="36" borderId="0" xfId="59" applyNumberFormat="1" applyFont="1" applyFill="1" applyAlignment="1">
      <alignment vertical="center"/>
    </xf>
    <xf numFmtId="174" fontId="11" fillId="33" borderId="22" xfId="0" applyNumberFormat="1" applyFont="1" applyFill="1" applyBorder="1" applyAlignment="1">
      <alignment horizontal="center" vertical="center"/>
    </xf>
    <xf numFmtId="177" fontId="11" fillId="33" borderId="22" xfId="0" applyNumberFormat="1" applyFont="1" applyFill="1" applyBorder="1" applyAlignment="1">
      <alignment horizontal="center" vertical="center"/>
    </xf>
    <xf numFmtId="170" fontId="10" fillId="33" borderId="22" xfId="44" applyFont="1" applyFill="1" applyBorder="1" applyAlignment="1">
      <alignment horizontal="center" vertical="center"/>
    </xf>
    <xf numFmtId="0" fontId="10" fillId="33" borderId="10" xfId="0" applyFont="1" applyFill="1" applyBorder="1" applyAlignment="1">
      <alignment vertical="center"/>
    </xf>
    <xf numFmtId="0" fontId="11" fillId="33" borderId="15" xfId="0" applyFont="1" applyFill="1" applyBorder="1" applyAlignment="1">
      <alignment vertical="center"/>
    </xf>
    <xf numFmtId="177" fontId="11" fillId="33" borderId="15" xfId="0" applyNumberFormat="1" applyFont="1" applyFill="1" applyBorder="1" applyAlignment="1">
      <alignment vertical="center"/>
    </xf>
    <xf numFmtId="0" fontId="11" fillId="33" borderId="15" xfId="0" applyFont="1" applyFill="1" applyBorder="1" applyAlignment="1">
      <alignment horizontal="right" vertical="center"/>
    </xf>
    <xf numFmtId="0" fontId="10" fillId="33" borderId="15" xfId="0" applyFont="1" applyFill="1" applyBorder="1" applyAlignment="1">
      <alignment vertical="center"/>
    </xf>
    <xf numFmtId="177" fontId="10" fillId="36" borderId="0" xfId="0" applyNumberFormat="1" applyFont="1" applyFill="1" applyAlignment="1">
      <alignment vertical="center"/>
    </xf>
    <xf numFmtId="3" fontId="10" fillId="36" borderId="0" xfId="0" applyNumberFormat="1" applyFont="1" applyFill="1" applyAlignment="1">
      <alignment vertical="center"/>
    </xf>
    <xf numFmtId="0" fontId="12" fillId="33" borderId="11" xfId="0" applyFont="1" applyFill="1" applyBorder="1" applyAlignment="1">
      <alignment horizontal="right" vertical="center"/>
    </xf>
    <xf numFmtId="170" fontId="11" fillId="37" borderId="23" xfId="44" applyFont="1" applyFill="1" applyBorder="1" applyAlignment="1">
      <alignment horizontal="center" vertical="center"/>
    </xf>
    <xf numFmtId="170" fontId="10" fillId="37" borderId="23" xfId="44" applyFont="1" applyFill="1" applyBorder="1" applyAlignment="1">
      <alignment horizontal="center" vertical="center"/>
    </xf>
    <xf numFmtId="3" fontId="7" fillId="37" borderId="23" xfId="44" applyNumberFormat="1" applyFont="1" applyFill="1" applyBorder="1" applyAlignment="1">
      <alignment horizontal="center"/>
    </xf>
    <xf numFmtId="0" fontId="7" fillId="33" borderId="0" xfId="0" applyFont="1" applyFill="1" applyBorder="1" applyAlignment="1">
      <alignment vertical="center"/>
    </xf>
    <xf numFmtId="0" fontId="7" fillId="33" borderId="0" xfId="0" applyFont="1" applyFill="1" applyBorder="1" applyAlignment="1">
      <alignment horizontal="left" vertical="center" indent="2"/>
    </xf>
    <xf numFmtId="0" fontId="23" fillId="33" borderId="0" xfId="0" applyFont="1" applyFill="1" applyAlignment="1">
      <alignment vertical="center"/>
    </xf>
    <xf numFmtId="0" fontId="6" fillId="33" borderId="0" xfId="0" applyFont="1" applyFill="1" applyBorder="1" applyAlignment="1">
      <alignment vertical="center"/>
    </xf>
    <xf numFmtId="3" fontId="15" fillId="38" borderId="24" xfId="0" applyNumberFormat="1" applyFont="1" applyFill="1" applyBorder="1" applyAlignment="1">
      <alignment horizontal="center" vertical="center"/>
    </xf>
    <xf numFmtId="3" fontId="15" fillId="38" borderId="25" xfId="0" applyNumberFormat="1" applyFont="1" applyFill="1" applyBorder="1" applyAlignment="1">
      <alignment horizontal="center" vertical="center"/>
    </xf>
    <xf numFmtId="3" fontId="12" fillId="38" borderId="25" xfId="0" applyNumberFormat="1" applyFont="1" applyFill="1" applyBorder="1" applyAlignment="1">
      <alignment horizontal="center" vertical="center"/>
    </xf>
    <xf numFmtId="178" fontId="15" fillId="38" borderId="23" xfId="0" applyNumberFormat="1" applyFont="1" applyFill="1" applyBorder="1" applyAlignment="1">
      <alignment horizontal="center" vertical="center"/>
    </xf>
    <xf numFmtId="3" fontId="12" fillId="38" borderId="23" xfId="0" applyNumberFormat="1" applyFont="1" applyFill="1" applyBorder="1" applyAlignment="1">
      <alignment horizontal="center" vertical="center"/>
    </xf>
    <xf numFmtId="170" fontId="12" fillId="38" borderId="23" xfId="44" applyFont="1" applyFill="1" applyBorder="1" applyAlignment="1">
      <alignment horizontal="center" vertical="center"/>
    </xf>
    <xf numFmtId="3" fontId="8" fillId="33" borderId="23" xfId="44" applyNumberFormat="1" applyFont="1" applyFill="1" applyBorder="1" applyAlignment="1">
      <alignment horizontal="center"/>
    </xf>
    <xf numFmtId="4" fontId="8" fillId="33" borderId="23" xfId="44" applyNumberFormat="1" applyFont="1" applyFill="1" applyBorder="1" applyAlignment="1">
      <alignment horizontal="center"/>
    </xf>
    <xf numFmtId="3" fontId="8" fillId="37" borderId="23" xfId="44" applyNumberFormat="1" applyFont="1" applyFill="1" applyBorder="1" applyAlignment="1">
      <alignment horizontal="center"/>
    </xf>
    <xf numFmtId="0" fontId="7" fillId="33" borderId="0" xfId="0" applyFont="1" applyFill="1" applyBorder="1" applyAlignment="1">
      <alignment horizontal="left" vertical="center"/>
    </xf>
    <xf numFmtId="0" fontId="16" fillId="33" borderId="26" xfId="0" applyFont="1" applyFill="1" applyBorder="1" applyAlignment="1">
      <alignment horizontal="center" wrapText="1"/>
    </xf>
    <xf numFmtId="182" fontId="11" fillId="39" borderId="23" xfId="42" applyNumberFormat="1" applyFont="1" applyFill="1" applyBorder="1" applyAlignment="1">
      <alignment horizontal="center" vertical="center"/>
    </xf>
    <xf numFmtId="2" fontId="11" fillId="39" borderId="23" xfId="0" applyNumberFormat="1" applyFont="1" applyFill="1" applyBorder="1" applyAlignment="1">
      <alignment horizontal="center" vertical="center"/>
    </xf>
    <xf numFmtId="182" fontId="11" fillId="40" borderId="23" xfId="42" applyNumberFormat="1" applyFont="1" applyFill="1" applyBorder="1" applyAlignment="1">
      <alignment horizontal="center" vertical="center"/>
    </xf>
    <xf numFmtId="177" fontId="11" fillId="33" borderId="23" xfId="0" applyNumberFormat="1" applyFont="1" applyFill="1" applyBorder="1" applyAlignment="1">
      <alignment horizontal="center" vertical="center"/>
    </xf>
    <xf numFmtId="181" fontId="11" fillId="39" borderId="23" xfId="42" applyNumberFormat="1" applyFont="1" applyFill="1" applyBorder="1" applyAlignment="1">
      <alignment horizontal="center" vertical="center"/>
    </xf>
    <xf numFmtId="10" fontId="11" fillId="33" borderId="27" xfId="0" applyNumberFormat="1" applyFont="1" applyFill="1" applyBorder="1" applyAlignment="1">
      <alignment horizontal="center" vertical="center"/>
    </xf>
    <xf numFmtId="3" fontId="15" fillId="38" borderId="28" xfId="0" applyNumberFormat="1" applyFont="1" applyFill="1" applyBorder="1" applyAlignment="1">
      <alignment horizontal="center" vertical="center"/>
    </xf>
    <xf numFmtId="3" fontId="15" fillId="38" borderId="29" xfId="0" applyNumberFormat="1" applyFont="1" applyFill="1" applyBorder="1" applyAlignment="1">
      <alignment horizontal="center" vertical="center"/>
    </xf>
    <xf numFmtId="0" fontId="11" fillId="39" borderId="23" xfId="0" applyFont="1" applyFill="1" applyBorder="1" applyAlignment="1">
      <alignment horizontal="left" vertical="center"/>
    </xf>
    <xf numFmtId="181" fontId="11" fillId="39" borderId="23" xfId="42" applyNumberFormat="1" applyFont="1" applyFill="1" applyBorder="1" applyAlignment="1">
      <alignment vertical="center"/>
    </xf>
    <xf numFmtId="0" fontId="10" fillId="39" borderId="23" xfId="0" applyFont="1" applyFill="1" applyBorder="1" applyAlignment="1">
      <alignment horizontal="left" vertical="center"/>
    </xf>
    <xf numFmtId="0" fontId="7" fillId="39" borderId="23" xfId="0" applyFont="1" applyFill="1" applyBorder="1" applyAlignment="1">
      <alignment/>
    </xf>
    <xf numFmtId="3" fontId="7" fillId="39" borderId="23" xfId="44" applyNumberFormat="1" applyFont="1" applyFill="1" applyBorder="1" applyAlignment="1">
      <alignment horizontal="center"/>
    </xf>
    <xf numFmtId="0" fontId="16" fillId="33" borderId="13"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12" xfId="0" applyFont="1" applyFill="1" applyBorder="1" applyAlignment="1">
      <alignment horizontal="center" vertical="center" wrapText="1"/>
    </xf>
    <xf numFmtId="3" fontId="8" fillId="34" borderId="15" xfId="44" applyNumberFormat="1" applyFont="1" applyFill="1" applyBorder="1" applyAlignment="1">
      <alignment horizontal="center"/>
    </xf>
    <xf numFmtId="0" fontId="7" fillId="34" borderId="15" xfId="0" applyFont="1" applyFill="1" applyBorder="1" applyAlignment="1">
      <alignment/>
    </xf>
    <xf numFmtId="4" fontId="8" fillId="34" borderId="15" xfId="44" applyNumberFormat="1" applyFont="1" applyFill="1" applyBorder="1" applyAlignment="1">
      <alignment horizontal="center"/>
    </xf>
    <xf numFmtId="3" fontId="17" fillId="33" borderId="23" xfId="44" applyNumberFormat="1" applyFont="1" applyFill="1" applyBorder="1" applyAlignment="1">
      <alignment horizontal="center"/>
    </xf>
    <xf numFmtId="0" fontId="18" fillId="33" borderId="23" xfId="0" applyFont="1" applyFill="1" applyBorder="1" applyAlignment="1">
      <alignment horizontal="center"/>
    </xf>
    <xf numFmtId="4" fontId="17" fillId="33" borderId="23" xfId="44" applyNumberFormat="1" applyFont="1" applyFill="1" applyBorder="1" applyAlignment="1">
      <alignment horizontal="center"/>
    </xf>
    <xf numFmtId="3" fontId="7" fillId="39" borderId="23" xfId="0" applyNumberFormat="1" applyFont="1" applyFill="1" applyBorder="1" applyAlignment="1">
      <alignment horizontal="center"/>
    </xf>
    <xf numFmtId="3" fontId="8" fillId="39" borderId="23" xfId="44" applyNumberFormat="1" applyFont="1" applyFill="1" applyBorder="1" applyAlignment="1">
      <alignment horizontal="center"/>
    </xf>
    <xf numFmtId="3" fontId="7" fillId="37" borderId="23" xfId="0" applyNumberFormat="1" applyFont="1" applyFill="1" applyBorder="1" applyAlignment="1">
      <alignment horizontal="center"/>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178" fontId="19" fillId="37" borderId="0" xfId="0" applyNumberFormat="1" applyFont="1" applyFill="1" applyBorder="1" applyAlignment="1">
      <alignment horizontal="center"/>
    </xf>
    <xf numFmtId="3" fontId="19" fillId="37" borderId="16" xfId="0" applyNumberFormat="1" applyFont="1" applyFill="1" applyBorder="1" applyAlignment="1">
      <alignment horizontal="center"/>
    </xf>
    <xf numFmtId="0" fontId="7" fillId="0" borderId="15" xfId="0" applyFont="1" applyFill="1" applyBorder="1" applyAlignment="1">
      <alignment/>
    </xf>
    <xf numFmtId="0" fontId="6" fillId="34" borderId="10" xfId="0" applyFont="1" applyFill="1" applyBorder="1" applyAlignment="1">
      <alignment horizontal="left"/>
    </xf>
    <xf numFmtId="3" fontId="6" fillId="37" borderId="23" xfId="0" applyNumberFormat="1" applyFont="1" applyFill="1" applyBorder="1" applyAlignment="1">
      <alignment horizontal="center"/>
    </xf>
    <xf numFmtId="3" fontId="7" fillId="34" borderId="15" xfId="0" applyNumberFormat="1" applyFont="1" applyFill="1" applyBorder="1" applyAlignment="1">
      <alignment horizontal="center"/>
    </xf>
    <xf numFmtId="3" fontId="18" fillId="39" borderId="23" xfId="0" applyNumberFormat="1" applyFont="1" applyFill="1" applyBorder="1" applyAlignment="1">
      <alignment horizontal="center"/>
    </xf>
    <xf numFmtId="178" fontId="7" fillId="37" borderId="23" xfId="0" applyNumberFormat="1" applyFont="1" applyFill="1" applyBorder="1" applyAlignment="1">
      <alignment horizontal="center"/>
    </xf>
    <xf numFmtId="3" fontId="18" fillId="37" borderId="23" xfId="0" applyNumberFormat="1" applyFont="1" applyFill="1" applyBorder="1" applyAlignment="1">
      <alignment horizontal="center"/>
    </xf>
    <xf numFmtId="178" fontId="18" fillId="37" borderId="23" xfId="0" applyNumberFormat="1" applyFont="1" applyFill="1" applyBorder="1" applyAlignment="1">
      <alignment horizontal="center"/>
    </xf>
    <xf numFmtId="178" fontId="6" fillId="37" borderId="23" xfId="0" applyNumberFormat="1" applyFont="1" applyFill="1" applyBorder="1" applyAlignment="1">
      <alignment horizontal="center"/>
    </xf>
    <xf numFmtId="0" fontId="21" fillId="36" borderId="0" xfId="0" applyFont="1" applyFill="1" applyAlignment="1">
      <alignment vertical="center"/>
    </xf>
    <xf numFmtId="173" fontId="11" fillId="36" borderId="0" xfId="0" applyNumberFormat="1" applyFont="1" applyFill="1" applyAlignment="1">
      <alignment vertical="center"/>
    </xf>
    <xf numFmtId="173" fontId="10" fillId="36" borderId="0" xfId="0" applyNumberFormat="1" applyFont="1" applyFill="1" applyAlignment="1">
      <alignment vertical="center"/>
    </xf>
    <xf numFmtId="0" fontId="12" fillId="33" borderId="32" xfId="0" applyFont="1" applyFill="1" applyBorder="1" applyAlignment="1">
      <alignment horizontal="center" vertical="center"/>
    </xf>
    <xf numFmtId="175" fontId="11" fillId="37" borderId="33" xfId="0" applyNumberFormat="1" applyFont="1" applyFill="1" applyBorder="1" applyAlignment="1">
      <alignment horizontal="left" vertical="center" indent="3"/>
    </xf>
    <xf numFmtId="175" fontId="11" fillId="37" borderId="23" xfId="0" applyNumberFormat="1" applyFont="1" applyFill="1" applyBorder="1" applyAlignment="1">
      <alignment horizontal="left" vertical="center" indent="3"/>
    </xf>
    <xf numFmtId="175" fontId="11" fillId="33" borderId="22" xfId="0" applyNumberFormat="1" applyFont="1" applyFill="1" applyBorder="1" applyAlignment="1">
      <alignment horizontal="left" vertical="center" indent="3"/>
    </xf>
    <xf numFmtId="0" fontId="24" fillId="33" borderId="0" xfId="0" applyFont="1" applyFill="1" applyBorder="1" applyAlignment="1">
      <alignment horizontal="left" vertical="center"/>
    </xf>
    <xf numFmtId="0" fontId="23" fillId="33" borderId="15" xfId="0" applyFont="1" applyFill="1" applyBorder="1" applyAlignment="1">
      <alignment vertical="center"/>
    </xf>
    <xf numFmtId="0" fontId="6" fillId="33" borderId="15" xfId="0" applyFont="1" applyFill="1" applyBorder="1" applyAlignment="1">
      <alignment vertical="center"/>
    </xf>
    <xf numFmtId="3" fontId="15" fillId="38" borderId="23" xfId="0" applyNumberFormat="1" applyFont="1" applyFill="1" applyBorder="1" applyAlignment="1">
      <alignment horizontal="center" vertical="center"/>
    </xf>
    <xf numFmtId="170" fontId="11" fillId="37" borderId="23" xfId="44" applyFont="1" applyFill="1" applyBorder="1" applyAlignment="1">
      <alignment horizontal="right" vertical="center"/>
    </xf>
    <xf numFmtId="169" fontId="11" fillId="37" borderId="23" xfId="0" applyNumberFormat="1" applyFont="1" applyFill="1" applyBorder="1" applyAlignment="1">
      <alignment horizontal="center" vertical="center"/>
    </xf>
    <xf numFmtId="169" fontId="10" fillId="37" borderId="23" xfId="0" applyNumberFormat="1" applyFont="1" applyFill="1" applyBorder="1" applyAlignment="1">
      <alignment horizontal="center" vertical="center"/>
    </xf>
    <xf numFmtId="169" fontId="10" fillId="37" borderId="23" xfId="0" applyNumberFormat="1" applyFont="1" applyFill="1" applyBorder="1" applyAlignment="1">
      <alignment horizontal="right" vertical="center"/>
    </xf>
    <xf numFmtId="169" fontId="10" fillId="33" borderId="34" xfId="0" applyNumberFormat="1" applyFont="1" applyFill="1" applyBorder="1" applyAlignment="1">
      <alignment horizontal="center" vertical="center"/>
    </xf>
    <xf numFmtId="169" fontId="10" fillId="33" borderId="22" xfId="0" applyNumberFormat="1" applyFont="1" applyFill="1" applyBorder="1" applyAlignment="1">
      <alignment horizontal="center" vertical="center"/>
    </xf>
    <xf numFmtId="169" fontId="26" fillId="40" borderId="23" xfId="0" applyNumberFormat="1" applyFont="1" applyFill="1" applyBorder="1" applyAlignment="1">
      <alignment horizontal="center" vertical="center"/>
    </xf>
    <xf numFmtId="9" fontId="6" fillId="39" borderId="13" xfId="59" applyFont="1" applyFill="1" applyBorder="1" applyAlignment="1">
      <alignment horizontal="center"/>
    </xf>
    <xf numFmtId="0" fontId="6" fillId="33" borderId="11" xfId="0" applyFont="1" applyFill="1" applyBorder="1" applyAlignment="1">
      <alignment vertical="center"/>
    </xf>
    <xf numFmtId="0" fontId="6" fillId="0" borderId="10" xfId="0" applyFont="1" applyFill="1" applyBorder="1" applyAlignment="1">
      <alignment/>
    </xf>
    <xf numFmtId="0" fontId="6" fillId="33" borderId="35" xfId="0" applyFont="1" applyFill="1" applyBorder="1" applyAlignment="1">
      <alignment horizontal="left" vertical="center"/>
    </xf>
    <xf numFmtId="0" fontId="25" fillId="33" borderId="0" xfId="0" applyFont="1" applyFill="1" applyBorder="1" applyAlignment="1">
      <alignment vertical="center" wrapText="1"/>
    </xf>
    <xf numFmtId="0" fontId="6" fillId="33" borderId="0" xfId="0" applyFont="1" applyFill="1" applyBorder="1" applyAlignment="1">
      <alignment vertical="center" wrapText="1"/>
    </xf>
    <xf numFmtId="0" fontId="27" fillId="33" borderId="0" xfId="53" applyFont="1" applyFill="1" applyBorder="1" applyAlignment="1" applyProtection="1">
      <alignment vertical="center"/>
      <protection/>
    </xf>
    <xf numFmtId="0" fontId="7" fillId="33" borderId="0" xfId="0" applyFont="1" applyFill="1" applyBorder="1" applyAlignment="1">
      <alignment/>
    </xf>
    <xf numFmtId="0" fontId="27" fillId="33" borderId="0" xfId="53" applyFont="1" applyFill="1" applyBorder="1" applyAlignment="1" applyProtection="1">
      <alignment vertical="center" wrapText="1"/>
      <protection/>
    </xf>
    <xf numFmtId="0" fontId="6" fillId="33" borderId="0" xfId="0" applyFont="1" applyFill="1" applyBorder="1" applyAlignment="1">
      <alignment/>
    </xf>
    <xf numFmtId="0" fontId="7" fillId="33" borderId="0" xfId="0" applyFont="1" applyFill="1" applyBorder="1" applyAlignment="1">
      <alignment horizontal="left" vertical="top"/>
    </xf>
    <xf numFmtId="0" fontId="28" fillId="33" borderId="0" xfId="0" applyFont="1" applyFill="1" applyBorder="1" applyAlignment="1">
      <alignment horizontal="left" vertical="center"/>
    </xf>
    <xf numFmtId="0" fontId="28" fillId="33" borderId="0" xfId="0" applyFont="1" applyFill="1" applyBorder="1" applyAlignment="1">
      <alignment vertical="center"/>
    </xf>
    <xf numFmtId="0" fontId="7" fillId="33" borderId="0" xfId="0" applyFont="1" applyFill="1" applyBorder="1" applyAlignment="1">
      <alignment vertical="top"/>
    </xf>
    <xf numFmtId="0" fontId="6" fillId="33" borderId="0" xfId="0" applyFont="1" applyFill="1" applyBorder="1" applyAlignment="1">
      <alignment vertical="top" wrapText="1"/>
    </xf>
    <xf numFmtId="0" fontId="6" fillId="37" borderId="0" xfId="0" applyFont="1" applyFill="1" applyBorder="1" applyAlignment="1">
      <alignment vertical="center" wrapText="1"/>
    </xf>
    <xf numFmtId="0" fontId="6" fillId="38" borderId="0" xfId="0" applyFont="1" applyFill="1" applyBorder="1" applyAlignment="1">
      <alignment vertical="center" wrapText="1"/>
    </xf>
    <xf numFmtId="0" fontId="6" fillId="39" borderId="0" xfId="0" applyFont="1" applyFill="1" applyBorder="1" applyAlignment="1">
      <alignment vertical="center" wrapText="1"/>
    </xf>
    <xf numFmtId="0" fontId="22" fillId="33" borderId="0" xfId="0" applyFont="1" applyFill="1" applyBorder="1" applyAlignment="1">
      <alignment horizontal="left" vertical="center" wrapText="1"/>
    </xf>
    <xf numFmtId="0" fontId="15" fillId="33" borderId="23" xfId="0" applyFont="1" applyFill="1" applyBorder="1" applyAlignment="1">
      <alignment horizontal="center" vertical="center" wrapText="1"/>
    </xf>
    <xf numFmtId="0" fontId="12" fillId="33" borderId="23" xfId="0" applyFont="1" applyFill="1" applyBorder="1" applyAlignment="1">
      <alignment horizontal="center" vertical="center" wrapText="1"/>
    </xf>
    <xf numFmtId="177" fontId="15" fillId="33" borderId="23" xfId="0" applyNumberFormat="1"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25" xfId="0" applyFont="1" applyFill="1" applyBorder="1" applyAlignment="1" quotePrefix="1">
      <alignment horizontal="right" vertical="center"/>
    </xf>
    <xf numFmtId="2" fontId="12" fillId="33" borderId="25" xfId="0" applyNumberFormat="1" applyFont="1" applyFill="1" applyBorder="1" applyAlignment="1">
      <alignment horizontal="left" vertical="center"/>
    </xf>
    <xf numFmtId="0" fontId="10" fillId="33" borderId="36" xfId="0" applyFont="1" applyFill="1" applyBorder="1" applyAlignment="1">
      <alignment vertical="center"/>
    </xf>
    <xf numFmtId="0" fontId="10" fillId="33" borderId="13" xfId="0" applyFont="1" applyFill="1" applyBorder="1" applyAlignment="1">
      <alignment vertical="center"/>
    </xf>
    <xf numFmtId="0" fontId="22" fillId="33" borderId="37" xfId="0" applyFont="1" applyFill="1" applyBorder="1" applyAlignment="1">
      <alignment horizontal="left" vertical="center" wrapText="1"/>
    </xf>
    <xf numFmtId="178" fontId="15" fillId="38" borderId="25" xfId="0" applyNumberFormat="1" applyFont="1" applyFill="1" applyBorder="1" applyAlignment="1">
      <alignment horizontal="center" vertical="center"/>
    </xf>
    <xf numFmtId="0" fontId="10" fillId="38" borderId="33" xfId="0" applyFont="1" applyFill="1" applyBorder="1" applyAlignment="1">
      <alignment vertical="center"/>
    </xf>
    <xf numFmtId="0" fontId="6" fillId="39" borderId="11" xfId="0" applyFont="1" applyFill="1" applyBorder="1" applyAlignment="1">
      <alignment vertical="center"/>
    </xf>
    <xf numFmtId="170" fontId="12" fillId="38" borderId="38" xfId="44" applyFont="1" applyFill="1" applyBorder="1" applyAlignment="1">
      <alignment horizontal="center" vertical="center"/>
    </xf>
    <xf numFmtId="0" fontId="11" fillId="33" borderId="39" xfId="0" applyFont="1" applyFill="1" applyBorder="1" applyAlignment="1">
      <alignment vertical="center"/>
    </xf>
    <xf numFmtId="0" fontId="10" fillId="33" borderId="39" xfId="0" applyFont="1" applyFill="1" applyBorder="1" applyAlignment="1">
      <alignment vertical="center"/>
    </xf>
    <xf numFmtId="0" fontId="11" fillId="33" borderId="40" xfId="0" applyFont="1" applyFill="1" applyBorder="1" applyAlignment="1">
      <alignment vertical="center"/>
    </xf>
    <xf numFmtId="4" fontId="12" fillId="38" borderId="38" xfId="44" applyNumberFormat="1" applyFont="1" applyFill="1" applyBorder="1" applyAlignment="1">
      <alignment horizontal="center" vertical="center"/>
    </xf>
    <xf numFmtId="0" fontId="6" fillId="39" borderId="35" xfId="0" applyFont="1" applyFill="1" applyBorder="1" applyAlignment="1">
      <alignment horizontal="left" vertical="center"/>
    </xf>
    <xf numFmtId="0" fontId="10" fillId="33" borderId="40" xfId="0" applyFont="1" applyFill="1" applyBorder="1" applyAlignment="1">
      <alignment vertical="center"/>
    </xf>
    <xf numFmtId="0" fontId="10" fillId="33" borderId="41" xfId="0" applyFont="1" applyFill="1" applyBorder="1" applyAlignment="1">
      <alignment vertical="center"/>
    </xf>
    <xf numFmtId="0" fontId="0" fillId="36" borderId="0" xfId="0" applyFill="1" applyAlignment="1">
      <alignment/>
    </xf>
    <xf numFmtId="3"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71" fontId="11" fillId="37" borderId="23" xfId="42" applyNumberFormat="1" applyFont="1" applyFill="1" applyBorder="1" applyAlignment="1">
      <alignment horizontal="center" vertical="center"/>
    </xf>
    <xf numFmtId="0" fontId="11" fillId="36" borderId="0" xfId="0" applyFont="1" applyFill="1" applyAlignment="1">
      <alignment horizontal="center" vertical="center"/>
    </xf>
    <xf numFmtId="0" fontId="11" fillId="33" borderId="15" xfId="0" applyFont="1" applyFill="1" applyBorder="1" applyAlignment="1">
      <alignment horizontal="center" vertical="center"/>
    </xf>
    <xf numFmtId="0" fontId="0" fillId="36" borderId="0" xfId="0" applyFill="1" applyAlignment="1">
      <alignment horizontal="center"/>
    </xf>
    <xf numFmtId="171" fontId="11" fillId="37" borderId="33" xfId="0" applyNumberFormat="1" applyFont="1" applyFill="1" applyBorder="1" applyAlignment="1">
      <alignment horizontal="left" vertical="center" indent="3"/>
    </xf>
    <xf numFmtId="171" fontId="11" fillId="33" borderId="22" xfId="0" applyNumberFormat="1" applyFont="1" applyFill="1" applyBorder="1" applyAlignment="1">
      <alignment horizontal="left" vertical="center" indent="3"/>
    </xf>
    <xf numFmtId="171" fontId="15" fillId="33" borderId="0" xfId="0" applyNumberFormat="1" applyFont="1" applyFill="1" applyBorder="1" applyAlignment="1">
      <alignment horizontal="center" vertical="center"/>
    </xf>
    <xf numFmtId="185" fontId="11" fillId="37" borderId="33" xfId="0" applyNumberFormat="1" applyFont="1" applyFill="1" applyBorder="1" applyAlignment="1">
      <alignment horizontal="left" vertical="center" indent="3"/>
    </xf>
    <xf numFmtId="169" fontId="11" fillId="39" borderId="23" xfId="42" applyNumberFormat="1" applyFont="1" applyFill="1" applyBorder="1" applyAlignment="1">
      <alignment horizontal="center" vertical="center"/>
    </xf>
    <xf numFmtId="169" fontId="11" fillId="39" borderId="23" xfId="0" applyNumberFormat="1" applyFont="1" applyFill="1" applyBorder="1" applyAlignment="1">
      <alignment horizontal="center" vertical="center"/>
    </xf>
    <xf numFmtId="169" fontId="10" fillId="39" borderId="23" xfId="42" applyNumberFormat="1" applyFont="1" applyFill="1" applyBorder="1" applyAlignment="1">
      <alignment horizontal="center" vertical="center"/>
    </xf>
    <xf numFmtId="169" fontId="11" fillId="33" borderId="27" xfId="0" applyNumberFormat="1" applyFont="1" applyFill="1" applyBorder="1" applyAlignment="1">
      <alignment horizontal="center" vertical="center"/>
    </xf>
    <xf numFmtId="169" fontId="11" fillId="33" borderId="23" xfId="0" applyNumberFormat="1" applyFont="1" applyFill="1" applyBorder="1" applyAlignment="1">
      <alignment horizontal="center" vertical="center"/>
    </xf>
    <xf numFmtId="169" fontId="11" fillId="33" borderId="22" xfId="0" applyNumberFormat="1" applyFont="1" applyFill="1" applyBorder="1" applyAlignment="1">
      <alignment horizontal="center" vertical="center"/>
    </xf>
    <xf numFmtId="169" fontId="11" fillId="39" borderId="23" xfId="42" applyNumberFormat="1" applyFont="1" applyFill="1" applyBorder="1" applyAlignment="1">
      <alignment vertical="center"/>
    </xf>
    <xf numFmtId="171" fontId="11" fillId="37" borderId="33" xfId="0" applyNumberFormat="1" applyFont="1" applyFill="1" applyBorder="1" applyAlignment="1">
      <alignment vertical="center"/>
    </xf>
    <xf numFmtId="171" fontId="11" fillId="37" borderId="23" xfId="0" applyNumberFormat="1" applyFont="1" applyFill="1" applyBorder="1" applyAlignment="1">
      <alignment vertical="center"/>
    </xf>
    <xf numFmtId="185" fontId="11" fillId="36" borderId="0" xfId="42" applyNumberFormat="1" applyFont="1" applyFill="1" applyAlignment="1">
      <alignment vertical="center"/>
    </xf>
    <xf numFmtId="185" fontId="15" fillId="38" borderId="23" xfId="42" applyNumberFormat="1" applyFont="1" applyFill="1" applyBorder="1" applyAlignment="1">
      <alignment horizontal="center" vertical="center"/>
    </xf>
    <xf numFmtId="185" fontId="11" fillId="33" borderId="42" xfId="42" applyNumberFormat="1" applyFont="1" applyFill="1" applyBorder="1" applyAlignment="1">
      <alignment horizontal="center" vertical="center"/>
    </xf>
    <xf numFmtId="185" fontId="11" fillId="37" borderId="23" xfId="42" applyNumberFormat="1" applyFont="1" applyFill="1" applyBorder="1" applyAlignment="1">
      <alignment horizontal="center" vertical="center"/>
    </xf>
    <xf numFmtId="185" fontId="11" fillId="33" borderId="15" xfId="42" applyNumberFormat="1" applyFont="1" applyFill="1" applyBorder="1" applyAlignment="1">
      <alignment vertical="center"/>
    </xf>
    <xf numFmtId="0" fontId="11" fillId="36" borderId="0" xfId="0" applyFont="1" applyFill="1" applyAlignment="1">
      <alignment horizontal="right" vertical="center"/>
    </xf>
    <xf numFmtId="0" fontId="12" fillId="33" borderId="23" xfId="0" applyFont="1" applyFill="1" applyBorder="1" applyAlignment="1">
      <alignment horizontal="right" vertical="center" wrapText="1"/>
    </xf>
    <xf numFmtId="178" fontId="15" fillId="38" borderId="23" xfId="0" applyNumberFormat="1" applyFont="1" applyFill="1" applyBorder="1" applyAlignment="1">
      <alignment horizontal="right" vertical="center"/>
    </xf>
    <xf numFmtId="173" fontId="11" fillId="33" borderId="42" xfId="0" applyNumberFormat="1" applyFont="1" applyFill="1" applyBorder="1" applyAlignment="1">
      <alignment horizontal="right" vertical="center"/>
    </xf>
    <xf numFmtId="173" fontId="11" fillId="37" borderId="23" xfId="0" applyNumberFormat="1" applyFont="1" applyFill="1" applyBorder="1" applyAlignment="1">
      <alignment horizontal="right" vertical="center"/>
    </xf>
    <xf numFmtId="3" fontId="6" fillId="33" borderId="0" xfId="0" applyNumberFormat="1" applyFont="1" applyFill="1" applyBorder="1" applyAlignment="1">
      <alignment horizontal="center"/>
    </xf>
    <xf numFmtId="0" fontId="29" fillId="33" borderId="0" xfId="0" applyFont="1" applyFill="1" applyBorder="1" applyAlignment="1">
      <alignment horizontal="left" vertical="center" wrapText="1"/>
    </xf>
    <xf numFmtId="0" fontId="6" fillId="33" borderId="0" xfId="0" applyFont="1" applyFill="1" applyBorder="1" applyAlignment="1" quotePrefix="1">
      <alignment horizontal="right" vertical="center"/>
    </xf>
    <xf numFmtId="2" fontId="6" fillId="33" borderId="0" xfId="0" applyNumberFormat="1" applyFont="1" applyFill="1" applyBorder="1" applyAlignment="1">
      <alignment horizontal="left" vertical="center"/>
    </xf>
    <xf numFmtId="0" fontId="6" fillId="36" borderId="0" xfId="0" applyFont="1" applyFill="1" applyBorder="1" applyAlignment="1" quotePrefix="1">
      <alignment horizontal="right" vertical="center"/>
    </xf>
    <xf numFmtId="2" fontId="6" fillId="36" borderId="0" xfId="0" applyNumberFormat="1" applyFont="1" applyFill="1" applyBorder="1" applyAlignment="1">
      <alignment horizontal="left" vertical="center"/>
    </xf>
    <xf numFmtId="185" fontId="15" fillId="33" borderId="24" xfId="42" applyNumberFormat="1" applyFont="1" applyFill="1" applyBorder="1" applyAlignment="1">
      <alignment horizontal="center" vertical="center" wrapText="1"/>
    </xf>
    <xf numFmtId="185" fontId="15" fillId="38" borderId="24" xfId="42" applyNumberFormat="1" applyFont="1" applyFill="1" applyBorder="1" applyAlignment="1">
      <alignment horizontal="center" vertical="center"/>
    </xf>
    <xf numFmtId="185" fontId="11" fillId="33" borderId="22" xfId="42" applyNumberFormat="1" applyFont="1" applyFill="1" applyBorder="1" applyAlignment="1">
      <alignment horizontal="center" vertical="center"/>
    </xf>
    <xf numFmtId="185" fontId="11" fillId="37" borderId="24" xfId="42" applyNumberFormat="1" applyFont="1" applyFill="1" applyBorder="1" applyAlignment="1">
      <alignment horizontal="center" vertical="center"/>
    </xf>
    <xf numFmtId="173" fontId="11" fillId="33" borderId="23" xfId="0" applyNumberFormat="1" applyFont="1" applyFill="1" applyBorder="1" applyAlignment="1">
      <alignment horizontal="right" vertical="center"/>
    </xf>
    <xf numFmtId="0" fontId="12" fillId="33" borderId="36" xfId="0" applyFont="1" applyFill="1" applyBorder="1" applyAlignment="1" quotePrefix="1">
      <alignment horizontal="right" vertical="center"/>
    </xf>
    <xf numFmtId="2" fontId="12" fillId="33" borderId="36" xfId="0" applyNumberFormat="1" applyFont="1" applyFill="1" applyBorder="1" applyAlignment="1">
      <alignment horizontal="left" vertical="center"/>
    </xf>
    <xf numFmtId="0" fontId="10" fillId="33" borderId="17" xfId="0" applyFont="1" applyFill="1" applyBorder="1" applyAlignment="1">
      <alignment vertical="center"/>
    </xf>
    <xf numFmtId="0" fontId="22" fillId="33" borderId="11" xfId="0" applyFont="1" applyFill="1" applyBorder="1" applyAlignment="1">
      <alignment horizontal="left" vertical="center" wrapText="1"/>
    </xf>
    <xf numFmtId="3" fontId="12" fillId="38" borderId="43" xfId="0" applyNumberFormat="1" applyFont="1" applyFill="1" applyBorder="1" applyAlignment="1">
      <alignment horizontal="center" vertical="center"/>
    </xf>
    <xf numFmtId="0" fontId="12" fillId="33" borderId="14" xfId="0" applyFont="1" applyFill="1" applyBorder="1" applyAlignment="1">
      <alignment horizontal="center" vertical="center"/>
    </xf>
    <xf numFmtId="0" fontId="11" fillId="39" borderId="44" xfId="0" applyFont="1" applyFill="1" applyBorder="1" applyAlignment="1">
      <alignment horizontal="left" vertical="center"/>
    </xf>
    <xf numFmtId="170" fontId="11" fillId="37" borderId="45" xfId="44" applyFont="1" applyFill="1" applyBorder="1" applyAlignment="1">
      <alignment horizontal="center" vertical="center"/>
    </xf>
    <xf numFmtId="0" fontId="10" fillId="39" borderId="44" xfId="0" applyFont="1" applyFill="1" applyBorder="1" applyAlignment="1">
      <alignment horizontal="left" vertical="center"/>
    </xf>
    <xf numFmtId="170" fontId="10" fillId="33" borderId="46" xfId="44" applyFont="1" applyFill="1" applyBorder="1" applyAlignment="1">
      <alignment horizontal="center" vertical="center"/>
    </xf>
    <xf numFmtId="170" fontId="10" fillId="37" borderId="45" xfId="44" applyFont="1" applyFill="1" applyBorder="1" applyAlignment="1">
      <alignment horizontal="center" vertical="center"/>
    </xf>
    <xf numFmtId="0" fontId="10" fillId="33" borderId="16" xfId="0" applyFont="1" applyFill="1" applyBorder="1" applyAlignment="1">
      <alignment vertical="center"/>
    </xf>
    <xf numFmtId="0" fontId="7" fillId="33" borderId="0" xfId="0" applyFont="1" applyFill="1" applyBorder="1" applyAlignment="1">
      <alignment horizontal="left"/>
    </xf>
    <xf numFmtId="0" fontId="25" fillId="33" borderId="0" xfId="0" applyFont="1" applyFill="1" applyBorder="1" applyAlignment="1">
      <alignment wrapText="1"/>
    </xf>
    <xf numFmtId="0" fontId="22" fillId="33" borderId="0" xfId="0" applyFont="1" applyFill="1" applyBorder="1" applyAlignment="1">
      <alignment vertical="center" wrapText="1"/>
    </xf>
    <xf numFmtId="0" fontId="31" fillId="33" borderId="0" xfId="53" applyFont="1" applyFill="1" applyBorder="1" applyAlignment="1" applyProtection="1">
      <alignment vertical="center"/>
      <protection/>
    </xf>
    <xf numFmtId="0" fontId="29" fillId="33" borderId="12" xfId="0" applyFont="1" applyFill="1" applyBorder="1" applyAlignment="1">
      <alignment horizontal="left" vertical="center" wrapText="1"/>
    </xf>
    <xf numFmtId="0" fontId="29" fillId="33" borderId="13" xfId="0" applyFont="1" applyFill="1" applyBorder="1" applyAlignment="1">
      <alignment horizontal="left" vertical="center" wrapText="1"/>
    </xf>
    <xf numFmtId="0" fontId="12" fillId="0" borderId="2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177" fontId="15" fillId="33" borderId="27" xfId="0" applyNumberFormat="1" applyFont="1" applyFill="1" applyBorder="1" applyAlignment="1">
      <alignment horizontal="center" vertical="center" wrapText="1"/>
    </xf>
    <xf numFmtId="177" fontId="15" fillId="33" borderId="47" xfId="0" applyNumberFormat="1" applyFont="1" applyFill="1" applyBorder="1" applyAlignment="1">
      <alignment horizontal="center" vertical="center" wrapText="1"/>
    </xf>
    <xf numFmtId="177" fontId="15" fillId="33" borderId="48" xfId="0" applyNumberFormat="1"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7" fillId="33" borderId="11" xfId="0" applyFont="1" applyFill="1" applyBorder="1" applyAlignment="1">
      <alignment/>
    </xf>
    <xf numFmtId="0" fontId="7" fillId="33" borderId="38" xfId="0" applyFont="1" applyFill="1" applyBorder="1" applyAlignment="1">
      <alignment/>
    </xf>
    <xf numFmtId="0" fontId="7" fillId="33" borderId="23" xfId="0" applyFont="1" applyFill="1" applyBorder="1" applyAlignment="1">
      <alignment horizontal="left"/>
    </xf>
    <xf numFmtId="3" fontId="9" fillId="33" borderId="23" xfId="0" applyNumberFormat="1" applyFont="1" applyFill="1" applyBorder="1" applyAlignment="1">
      <alignment horizontal="left"/>
    </xf>
    <xf numFmtId="0" fontId="6" fillId="33" borderId="15" xfId="0" applyFont="1" applyFill="1" applyBorder="1" applyAlignment="1">
      <alignment vertical="center" wrapText="1"/>
    </xf>
    <xf numFmtId="0" fontId="16" fillId="33" borderId="20" xfId="0" applyFont="1" applyFill="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lignment vertical="center"/>
    </xf>
    <xf numFmtId="3" fontId="19" fillId="40" borderId="23" xfId="0" applyNumberFormat="1" applyFont="1" applyFill="1" applyBorder="1" applyAlignment="1">
      <alignment horizontal="left"/>
    </xf>
    <xf numFmtId="0" fontId="29" fillId="33" borderId="0" xfId="0" applyFont="1" applyFill="1" applyBorder="1" applyAlignment="1">
      <alignment horizontal="left" vertical="center" wrapText="1"/>
    </xf>
    <xf numFmtId="0" fontId="12" fillId="33" borderId="23" xfId="0" applyFont="1" applyFill="1" applyBorder="1" applyAlignment="1">
      <alignment horizontal="center" vertical="center" wrapText="1"/>
    </xf>
    <xf numFmtId="177" fontId="15" fillId="33" borderId="23" xfId="0" applyNumberFormat="1" applyFont="1" applyFill="1" applyBorder="1" applyAlignment="1">
      <alignment horizontal="center" vertical="center" wrapText="1"/>
    </xf>
    <xf numFmtId="0" fontId="15" fillId="33" borderId="23" xfId="0" applyFont="1" applyFill="1" applyBorder="1" applyAlignment="1">
      <alignment horizontal="center" vertical="center" wrapText="1"/>
    </xf>
    <xf numFmtId="185" fontId="15" fillId="33" borderId="24" xfId="42" applyNumberFormat="1" applyFont="1" applyFill="1" applyBorder="1" applyAlignment="1">
      <alignment horizontal="center" vertical="center" wrapText="1"/>
    </xf>
    <xf numFmtId="0" fontId="6" fillId="33" borderId="29" xfId="0" applyFont="1" applyFill="1" applyBorder="1" applyAlignment="1" quotePrefix="1">
      <alignment horizontal="left"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33" xfId="0" applyFont="1" applyFill="1" applyBorder="1" applyAlignment="1">
      <alignment horizontal="center" vertical="center"/>
    </xf>
    <xf numFmtId="0" fontId="4" fillId="33" borderId="0" xfId="53"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00FFFF"/>
      <rgbColor rgb="00CCFFCC"/>
      <rgbColor rgb="00FFFF99"/>
      <rgbColor rgb="00A6CAF0"/>
      <rgbColor rgb="00FFCCFF"/>
      <rgbColor rgb="00CC99FF"/>
      <rgbColor rgb="00E3E3E3"/>
      <rgbColor rgb="00CCCC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76200</xdr:rowOff>
    </xdr:from>
    <xdr:to>
      <xdr:col>1</xdr:col>
      <xdr:colOff>5076825</xdr:colOff>
      <xdr:row>0</xdr:row>
      <xdr:rowOff>1866900</xdr:rowOff>
    </xdr:to>
    <xdr:pic>
      <xdr:nvPicPr>
        <xdr:cNvPr id="1" name="Picture 5" descr="m&amp;c_B1"/>
        <xdr:cNvPicPr preferRelativeResize="1">
          <a:picLocks noChangeAspect="1"/>
        </xdr:cNvPicPr>
      </xdr:nvPicPr>
      <xdr:blipFill>
        <a:blip r:embed="rId1"/>
        <a:stretch>
          <a:fillRect/>
        </a:stretch>
      </xdr:blipFill>
      <xdr:spPr>
        <a:xfrm>
          <a:off x="723900" y="76200"/>
          <a:ext cx="4543425"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1</xdr:row>
      <xdr:rowOff>57150</xdr:rowOff>
    </xdr:from>
    <xdr:to>
      <xdr:col>13</xdr:col>
      <xdr:colOff>819150</xdr:colOff>
      <xdr:row>1</xdr:row>
      <xdr:rowOff>952500</xdr:rowOff>
    </xdr:to>
    <xdr:pic>
      <xdr:nvPicPr>
        <xdr:cNvPr id="1" name="Picture 2" descr="m&amp;c_B1"/>
        <xdr:cNvPicPr preferRelativeResize="1">
          <a:picLocks noChangeAspect="1"/>
        </xdr:cNvPicPr>
      </xdr:nvPicPr>
      <xdr:blipFill>
        <a:blip r:embed="rId1"/>
        <a:srcRect l="24108" t="31382" b="12234"/>
        <a:stretch>
          <a:fillRect/>
        </a:stretch>
      </xdr:blipFill>
      <xdr:spPr>
        <a:xfrm>
          <a:off x="10296525" y="228600"/>
          <a:ext cx="304800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1123950</xdr:colOff>
      <xdr:row>0</xdr:row>
      <xdr:rowOff>76200</xdr:rowOff>
    </xdr:from>
    <xdr:to>
      <xdr:col>8</xdr:col>
      <xdr:colOff>790575</xdr:colOff>
      <xdr:row>1</xdr:row>
      <xdr:rowOff>447675</xdr:rowOff>
    </xdr:to>
    <xdr:pic>
      <xdr:nvPicPr>
        <xdr:cNvPr id="1" name="Picture 2" descr="m&amp;c_B1"/>
        <xdr:cNvPicPr preferRelativeResize="1">
          <a:picLocks noChangeAspect="1"/>
        </xdr:cNvPicPr>
      </xdr:nvPicPr>
      <xdr:blipFill>
        <a:blip r:embed="rId1"/>
        <a:srcRect l="24108" t="31382" b="12234"/>
        <a:stretch>
          <a:fillRect/>
        </a:stretch>
      </xdr:blipFill>
      <xdr:spPr>
        <a:xfrm>
          <a:off x="6057900" y="76200"/>
          <a:ext cx="304800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28575</xdr:rowOff>
    </xdr:from>
    <xdr:to>
      <xdr:col>6</xdr:col>
      <xdr:colOff>704850</xdr:colOff>
      <xdr:row>1</xdr:row>
      <xdr:rowOff>923925</xdr:rowOff>
    </xdr:to>
    <xdr:pic>
      <xdr:nvPicPr>
        <xdr:cNvPr id="1" name="Picture 2" descr="m&amp;c_B1"/>
        <xdr:cNvPicPr preferRelativeResize="1">
          <a:picLocks noChangeAspect="1"/>
        </xdr:cNvPicPr>
      </xdr:nvPicPr>
      <xdr:blipFill>
        <a:blip r:embed="rId1"/>
        <a:srcRect l="24108" t="31382" b="12234"/>
        <a:stretch>
          <a:fillRect/>
        </a:stretch>
      </xdr:blipFill>
      <xdr:spPr>
        <a:xfrm>
          <a:off x="3981450" y="247650"/>
          <a:ext cx="3048000"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xdr:row>
      <xdr:rowOff>19050</xdr:rowOff>
    </xdr:from>
    <xdr:to>
      <xdr:col>12</xdr:col>
      <xdr:colOff>752475</xdr:colOff>
      <xdr:row>1</xdr:row>
      <xdr:rowOff>914400</xdr:rowOff>
    </xdr:to>
    <xdr:pic>
      <xdr:nvPicPr>
        <xdr:cNvPr id="1" name="Picture 2" descr="m&amp;c_B1"/>
        <xdr:cNvPicPr preferRelativeResize="1">
          <a:picLocks noChangeAspect="1"/>
        </xdr:cNvPicPr>
      </xdr:nvPicPr>
      <xdr:blipFill>
        <a:blip r:embed="rId1"/>
        <a:srcRect l="24108" t="31382" b="12234"/>
        <a:stretch>
          <a:fillRect/>
        </a:stretch>
      </xdr:blipFill>
      <xdr:spPr>
        <a:xfrm>
          <a:off x="8772525" y="295275"/>
          <a:ext cx="30480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114300</xdr:rowOff>
    </xdr:from>
    <xdr:to>
      <xdr:col>9</xdr:col>
      <xdr:colOff>19050</xdr:colOff>
      <xdr:row>1</xdr:row>
      <xdr:rowOff>485775</xdr:rowOff>
    </xdr:to>
    <xdr:pic>
      <xdr:nvPicPr>
        <xdr:cNvPr id="1" name="Picture 2" descr="m&amp;c_B1"/>
        <xdr:cNvPicPr preferRelativeResize="1">
          <a:picLocks noChangeAspect="1"/>
        </xdr:cNvPicPr>
      </xdr:nvPicPr>
      <xdr:blipFill>
        <a:blip r:embed="rId1"/>
        <a:srcRect l="24108" t="31382" b="12234"/>
        <a:stretch>
          <a:fillRect/>
        </a:stretch>
      </xdr:blipFill>
      <xdr:spPr>
        <a:xfrm>
          <a:off x="6343650" y="114300"/>
          <a:ext cx="3048000"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1Private\1Quality%20Director\FTEassess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TE Calc #1"/>
      <sheetName val="FTE Calc #2"/>
      <sheetName val="FTE Calc #3"/>
    </sheetNames>
    <sheetDataSet>
      <sheetData sheetId="1">
        <row r="23">
          <cell r="D23">
            <v>6860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ientpoint.com/_private/webinar_registration.htm" TargetMode="External" /><Relationship Id="rId2" Type="http://schemas.openxmlformats.org/officeDocument/2006/relationships/hyperlink" Target="mailto:client.services@orientpoint.com" TargetMode="External" /><Relationship Id="rId3" Type="http://schemas.openxmlformats.org/officeDocument/2006/relationships/hyperlink" Target="http://www.staffingmodel.com/" TargetMode="External" /><Relationship Id="rId4" Type="http://schemas.openxmlformats.org/officeDocument/2006/relationships/hyperlink" Target="http://www.orientpoint.com/FileRoom_Staffing_Model.ht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29"/>
  <sheetViews>
    <sheetView zoomScaleSheetLayoutView="100" zoomScalePageLayoutView="0" workbookViewId="0" topLeftCell="A1">
      <selection activeCell="B13" sqref="B13"/>
    </sheetView>
  </sheetViews>
  <sheetFormatPr defaultColWidth="9.33203125" defaultRowHeight="12.75"/>
  <cols>
    <col min="1" max="1" width="3.33203125" style="88" customWidth="1"/>
    <col min="2" max="2" width="111.33203125" style="165" customWidth="1"/>
    <col min="3" max="16384" width="9.33203125" style="87" customWidth="1"/>
  </cols>
  <sheetData>
    <row r="1" ht="158.25" customHeight="1">
      <c r="A1" s="88" t="s">
        <v>74</v>
      </c>
    </row>
    <row r="2" ht="33.75" customHeight="1">
      <c r="A2" s="147" t="s">
        <v>128</v>
      </c>
    </row>
    <row r="3" spans="1:2" s="170" customFormat="1" ht="45.75" customHeight="1">
      <c r="A3" s="169"/>
      <c r="B3" s="252" t="s">
        <v>80</v>
      </c>
    </row>
    <row r="4" spans="1:2" s="170" customFormat="1" ht="20.25" customHeight="1">
      <c r="A4" s="169"/>
      <c r="B4" s="295" t="s">
        <v>134</v>
      </c>
    </row>
    <row r="5" spans="1:2" s="165" customFormat="1" ht="33.75" customHeight="1">
      <c r="A5" s="250"/>
      <c r="B5" s="251" t="s">
        <v>83</v>
      </c>
    </row>
    <row r="6" spans="1:2" ht="15" customHeight="1">
      <c r="A6" s="100"/>
      <c r="B6" s="166" t="s">
        <v>81</v>
      </c>
    </row>
    <row r="7" spans="1:2" ht="15" customHeight="1">
      <c r="A7" s="100"/>
      <c r="B7" s="166" t="s">
        <v>82</v>
      </c>
    </row>
    <row r="8" spans="1:2" ht="15" customHeight="1">
      <c r="A8" s="100"/>
      <c r="B8" s="162" t="s">
        <v>125</v>
      </c>
    </row>
    <row r="9" spans="1:2" ht="15" customHeight="1">
      <c r="A9" s="100"/>
      <c r="B9" s="90" t="s">
        <v>78</v>
      </c>
    </row>
    <row r="10" spans="1:2" ht="15" customHeight="1">
      <c r="A10" s="100"/>
      <c r="B10" s="164" t="s">
        <v>79</v>
      </c>
    </row>
    <row r="11" spans="1:2" ht="34.5" customHeight="1">
      <c r="A11" s="100"/>
      <c r="B11" s="253" t="s">
        <v>133</v>
      </c>
    </row>
    <row r="12" spans="1:2" ht="37.5" customHeight="1">
      <c r="A12" s="100"/>
      <c r="B12" s="163" t="s">
        <v>129</v>
      </c>
    </row>
    <row r="13" spans="1:11" s="171" customFormat="1" ht="37.5" customHeight="1">
      <c r="A13" s="168"/>
      <c r="B13" s="163" t="s">
        <v>87</v>
      </c>
      <c r="C13" s="172"/>
      <c r="D13" s="172"/>
      <c r="E13" s="172"/>
      <c r="F13" s="172"/>
      <c r="G13" s="172"/>
      <c r="H13" s="172"/>
      <c r="I13" s="172"/>
      <c r="J13" s="172"/>
      <c r="K13" s="172"/>
    </row>
    <row r="14" spans="1:11" ht="42.75" customHeight="1">
      <c r="A14" s="100"/>
      <c r="B14" s="173" t="s">
        <v>86</v>
      </c>
      <c r="C14" s="163"/>
      <c r="D14" s="163"/>
      <c r="E14" s="163"/>
      <c r="F14" s="163"/>
      <c r="G14" s="163"/>
      <c r="H14" s="163"/>
      <c r="I14" s="163"/>
      <c r="J14" s="163"/>
      <c r="K14" s="163"/>
    </row>
    <row r="15" spans="1:11" ht="42.75" customHeight="1">
      <c r="A15" s="100"/>
      <c r="B15" s="174" t="s">
        <v>85</v>
      </c>
      <c r="C15" s="163"/>
      <c r="D15" s="163"/>
      <c r="E15" s="163"/>
      <c r="F15" s="163"/>
      <c r="G15" s="163"/>
      <c r="H15" s="163"/>
      <c r="I15" s="163"/>
      <c r="J15" s="163"/>
      <c r="K15" s="163"/>
    </row>
    <row r="16" spans="2:11" ht="88.5" customHeight="1">
      <c r="B16" s="175" t="s">
        <v>84</v>
      </c>
      <c r="C16" s="163"/>
      <c r="D16" s="163"/>
      <c r="E16" s="163"/>
      <c r="F16" s="163"/>
      <c r="G16" s="163"/>
      <c r="H16" s="163"/>
      <c r="I16" s="163"/>
      <c r="J16" s="163"/>
      <c r="K16" s="163"/>
    </row>
    <row r="17" spans="1:11" ht="54.75" customHeight="1">
      <c r="A17" s="100"/>
      <c r="B17" s="163" t="s">
        <v>130</v>
      </c>
      <c r="C17" s="163"/>
      <c r="D17" s="163"/>
      <c r="E17" s="163"/>
      <c r="F17" s="163"/>
      <c r="G17" s="163"/>
      <c r="H17" s="163"/>
      <c r="I17" s="163"/>
      <c r="J17" s="163"/>
      <c r="K17" s="163"/>
    </row>
    <row r="18" spans="1:2" ht="12.75">
      <c r="A18" s="100"/>
      <c r="B18" s="90"/>
    </row>
    <row r="19" spans="1:2" ht="12.75">
      <c r="A19" s="100"/>
      <c r="B19" s="90"/>
    </row>
    <row r="20" ht="12.75">
      <c r="B20" s="167" t="s">
        <v>74</v>
      </c>
    </row>
    <row r="21" ht="12.75">
      <c r="B21" s="167"/>
    </row>
    <row r="22" ht="12.75">
      <c r="B22" s="167"/>
    </row>
    <row r="23" ht="12.75">
      <c r="B23" s="167"/>
    </row>
    <row r="24" ht="12.75">
      <c r="B24" s="167"/>
    </row>
    <row r="25" ht="12.75">
      <c r="B25" s="167"/>
    </row>
    <row r="26" ht="12.75">
      <c r="B26" s="167"/>
    </row>
    <row r="27" ht="12.75">
      <c r="B27" s="167"/>
    </row>
    <row r="28" ht="12.75">
      <c r="B28" s="167"/>
    </row>
    <row r="29" ht="12.75">
      <c r="B29" s="167"/>
    </row>
  </sheetData>
  <sheetProtection/>
  <hyperlinks>
    <hyperlink ref="B4" r:id="rId1" display="http://www.orientpoint.com/_private/webinar_registration.htm"/>
    <hyperlink ref="B10" r:id="rId2" display="client.services@orientpoint.com"/>
    <hyperlink ref="B6" r:id="rId3" display="http://www.staffingmodel.com"/>
    <hyperlink ref="B7" r:id="rId4" display="http://www.orientpoint.com/FileRoom_Staffing_Model.htm"/>
  </hyperlinks>
  <printOptions/>
  <pageMargins left="0.24" right="0.18" top="0.42" bottom="0.7" header="0.18" footer="0.27"/>
  <pageSetup horizontalDpi="600" verticalDpi="600" orientation="portrait" r:id="rId6"/>
  <headerFooter alignWithMargins="0">
    <oddFooter>&amp;C&amp;"Arial,Regular"&amp;9© 2010 Orient Point Consulting LLC, All rights reserved
http://orientpoint.com   (888) 444-2210</oddFooter>
  </headerFooter>
  <colBreaks count="1" manualBreakCount="1">
    <brk id="2" max="65535" man="1"/>
  </colBreaks>
  <drawing r:id="rId5"/>
</worksheet>
</file>

<file path=xl/worksheets/sheet2.xml><?xml version="1.0" encoding="utf-8"?>
<worksheet xmlns="http://schemas.openxmlformats.org/spreadsheetml/2006/main" xmlns:r="http://schemas.openxmlformats.org/officeDocument/2006/relationships">
  <sheetPr>
    <tabColor indexed="42"/>
  </sheetPr>
  <dimension ref="A1:O40"/>
  <sheetViews>
    <sheetView tabSelected="1" view="pageLayout" zoomScale="60" zoomScaleNormal="90" zoomScalePageLayoutView="60" workbookViewId="0" topLeftCell="A2">
      <selection activeCell="B42" sqref="B42"/>
    </sheetView>
  </sheetViews>
  <sheetFormatPr defaultColWidth="9.33203125" defaultRowHeight="12.75"/>
  <cols>
    <col min="1" max="1" width="3.33203125" style="197" customWidth="1"/>
    <col min="2" max="2" width="52.5" style="197" customWidth="1"/>
    <col min="3" max="4" width="11.5" style="197" customWidth="1"/>
    <col min="5" max="6" width="15.66015625" style="197" customWidth="1"/>
    <col min="7" max="7" width="15.66015625" style="203" customWidth="1"/>
    <col min="8" max="11" width="15.66015625" style="197" customWidth="1"/>
    <col min="12" max="12" width="19.16015625" style="197" customWidth="1"/>
    <col min="13" max="13" width="11.5" style="197" customWidth="1"/>
    <col min="14" max="14" width="15" style="197" customWidth="1"/>
    <col min="15" max="16384" width="9.33203125" style="197" customWidth="1"/>
  </cols>
  <sheetData>
    <row r="1" spans="1:15" ht="13.5" thickBot="1">
      <c r="A1" s="140"/>
      <c r="B1" s="62"/>
      <c r="C1" s="63"/>
      <c r="D1" s="64"/>
      <c r="E1" s="63"/>
      <c r="F1" s="63"/>
      <c r="G1" s="201"/>
      <c r="H1" s="82"/>
      <c r="I1" s="65"/>
      <c r="J1" s="65"/>
      <c r="K1" s="65"/>
      <c r="L1" s="65"/>
      <c r="M1" s="65"/>
      <c r="N1" s="65"/>
      <c r="O1" s="65"/>
    </row>
    <row r="2" spans="1:15" ht="79.5" customHeight="1">
      <c r="A2" s="65"/>
      <c r="B2" s="254" t="s">
        <v>126</v>
      </c>
      <c r="C2" s="255"/>
      <c r="D2" s="255"/>
      <c r="E2" s="255"/>
      <c r="F2" s="255"/>
      <c r="G2" s="255"/>
      <c r="H2" s="181" t="s">
        <v>116</v>
      </c>
      <c r="I2" s="182">
        <v>147</v>
      </c>
      <c r="J2" s="183"/>
      <c r="K2" s="184"/>
      <c r="L2" s="184"/>
      <c r="M2" s="184"/>
      <c r="N2" s="184"/>
      <c r="O2" s="62"/>
    </row>
    <row r="3" spans="1:15" ht="15">
      <c r="A3" s="65"/>
      <c r="B3" s="185"/>
      <c r="C3" s="261" t="s">
        <v>48</v>
      </c>
      <c r="D3" s="268" t="s">
        <v>47</v>
      </c>
      <c r="E3" s="262" t="s">
        <v>29</v>
      </c>
      <c r="F3" s="262" t="s">
        <v>46</v>
      </c>
      <c r="G3" s="265" t="s">
        <v>45</v>
      </c>
      <c r="H3" s="271" t="s">
        <v>12</v>
      </c>
      <c r="I3" s="271"/>
      <c r="J3" s="271"/>
      <c r="K3" s="272"/>
      <c r="L3" s="256" t="s">
        <v>42</v>
      </c>
      <c r="M3" s="261" t="s">
        <v>41</v>
      </c>
      <c r="N3" s="259" t="s">
        <v>110</v>
      </c>
      <c r="O3" s="65"/>
    </row>
    <row r="4" spans="1:15" ht="12.75">
      <c r="A4" s="65"/>
      <c r="B4" s="143"/>
      <c r="C4" s="259"/>
      <c r="D4" s="269"/>
      <c r="E4" s="263"/>
      <c r="F4" s="263"/>
      <c r="G4" s="266"/>
      <c r="H4" s="273" t="s">
        <v>44</v>
      </c>
      <c r="I4" s="261" t="s">
        <v>2</v>
      </c>
      <c r="J4" s="261" t="s">
        <v>16</v>
      </c>
      <c r="K4" s="261" t="s">
        <v>43</v>
      </c>
      <c r="L4" s="257"/>
      <c r="M4" s="259"/>
      <c r="N4" s="259"/>
      <c r="O4" s="65"/>
    </row>
    <row r="5" spans="1:15" ht="12.75">
      <c r="A5" s="65"/>
      <c r="B5" s="143" t="s">
        <v>49</v>
      </c>
      <c r="C5" s="260"/>
      <c r="D5" s="270"/>
      <c r="E5" s="264"/>
      <c r="F5" s="264"/>
      <c r="G5" s="267"/>
      <c r="H5" s="274"/>
      <c r="I5" s="260"/>
      <c r="J5" s="260"/>
      <c r="K5" s="260"/>
      <c r="L5" s="258"/>
      <c r="M5" s="260"/>
      <c r="N5" s="260"/>
      <c r="O5" s="65"/>
    </row>
    <row r="6" spans="1:15" ht="12.75">
      <c r="A6" s="65"/>
      <c r="B6" s="83" t="s">
        <v>28</v>
      </c>
      <c r="C6" s="91"/>
      <c r="D6" s="92"/>
      <c r="E6" s="92"/>
      <c r="F6" s="186">
        <f>SUM(F7,F18,F28)</f>
        <v>9294.133333333333</v>
      </c>
      <c r="G6" s="186">
        <f>SUM(G7,G18,G28)</f>
        <v>63.22539682539683</v>
      </c>
      <c r="H6" s="150">
        <f>SUM(H8:H61)</f>
        <v>101387.2153278534</v>
      </c>
      <c r="I6" s="150">
        <f>SUM(I8:I61)</f>
        <v>187027.78844444442</v>
      </c>
      <c r="J6" s="150">
        <f>SUM(J8:J61)</f>
        <v>12014.57232562923</v>
      </c>
      <c r="K6" s="150">
        <f>SUM(K8:K61)</f>
        <v>29180.294068823154</v>
      </c>
      <c r="L6" s="94">
        <f>SUM(L8:L61)</f>
        <v>329609.8701667503</v>
      </c>
      <c r="M6" s="93"/>
      <c r="N6" s="187"/>
      <c r="O6" s="65"/>
    </row>
    <row r="7" spans="1:15" ht="12.75">
      <c r="A7" s="65"/>
      <c r="B7" s="188" t="s">
        <v>114</v>
      </c>
      <c r="C7" s="66"/>
      <c r="D7" s="67"/>
      <c r="E7" s="66"/>
      <c r="F7" s="198">
        <f>SUM(F8:F17)</f>
        <v>1546.4666666666665</v>
      </c>
      <c r="G7" s="199">
        <f>SUM(G8:G17)</f>
        <v>10.520181405895691</v>
      </c>
      <c r="H7" s="68"/>
      <c r="I7" s="69"/>
      <c r="J7" s="69"/>
      <c r="K7" s="69"/>
      <c r="L7" s="69"/>
      <c r="M7" s="69"/>
      <c r="N7" s="189">
        <v>333.26156091519005</v>
      </c>
      <c r="O7" s="65"/>
    </row>
    <row r="8" spans="1:15" ht="12.75">
      <c r="A8" s="63"/>
      <c r="B8" s="110" t="s">
        <v>91</v>
      </c>
      <c r="C8" s="208">
        <v>3000</v>
      </c>
      <c r="D8" s="209">
        <v>17</v>
      </c>
      <c r="E8" s="215">
        <f aca="true" t="shared" si="0" ref="E8:E17">60/D8</f>
        <v>3.5294117647058822</v>
      </c>
      <c r="F8" s="216">
        <f>(C8*D8)/60</f>
        <v>850</v>
      </c>
      <c r="G8" s="216">
        <f aca="true" t="shared" si="1" ref="G8:G17">F8/$I$2</f>
        <v>5.782312925170068</v>
      </c>
      <c r="H8" s="157">
        <f>'Cost Worksheet 2'!$F$7*G8</f>
        <v>12528.344671201812</v>
      </c>
      <c r="I8" s="152">
        <f>('Cost Worksheet 2'!$H$16+'Cost Worksheet 2'!H20)*G8</f>
        <v>73481.63265306123</v>
      </c>
      <c r="J8" s="152">
        <f>'Cost Worksheet 2'!$H$26*G8</f>
        <v>3063.9612166705765</v>
      </c>
      <c r="K8" s="152">
        <f>'Cost Worksheet 2'!$I$41*G8</f>
        <v>800.3468170332299</v>
      </c>
      <c r="L8" s="84">
        <f aca="true" t="shared" si="2" ref="L8:L17">SUM(H8:K8)</f>
        <v>89874.28535796686</v>
      </c>
      <c r="M8" s="84">
        <f aca="true" t="shared" si="3" ref="M8:M17">L8/C8</f>
        <v>29.958095119322287</v>
      </c>
      <c r="N8" s="190"/>
      <c r="O8" s="63"/>
    </row>
    <row r="9" spans="1:15" ht="12.75">
      <c r="A9" s="141"/>
      <c r="B9" s="110" t="s">
        <v>92</v>
      </c>
      <c r="C9" s="210">
        <v>450</v>
      </c>
      <c r="D9" s="209">
        <v>12</v>
      </c>
      <c r="E9" s="215">
        <f t="shared" si="0"/>
        <v>5</v>
      </c>
      <c r="F9" s="216">
        <f aca="true" t="shared" si="4" ref="F9:F17">(C9*D9)/60</f>
        <v>90</v>
      </c>
      <c r="G9" s="216">
        <f t="shared" si="1"/>
        <v>0.6122448979591837</v>
      </c>
      <c r="H9" s="152">
        <f>'Cost Worksheet 2'!$F$7*G9</f>
        <v>1326.5306122448978</v>
      </c>
      <c r="I9" s="152">
        <f>'Cost Worksheet 2'!$H$16*G9</f>
        <v>127.34693877551021</v>
      </c>
      <c r="J9" s="152">
        <f>'Cost Worksheet 2'!$H$26*G9</f>
        <v>324.4194229415905</v>
      </c>
      <c r="K9" s="152">
        <f>'Cost Worksheet 2'!$I$41*G9</f>
        <v>84.74260415645963</v>
      </c>
      <c r="L9" s="84">
        <f t="shared" si="2"/>
        <v>1863.0395781184582</v>
      </c>
      <c r="M9" s="84">
        <f t="shared" si="3"/>
        <v>4.140087951374351</v>
      </c>
      <c r="N9" s="190"/>
      <c r="O9" s="63"/>
    </row>
    <row r="10" spans="1:15" ht="12.75">
      <c r="A10" s="63"/>
      <c r="B10" s="110" t="s">
        <v>104</v>
      </c>
      <c r="C10" s="210">
        <v>409</v>
      </c>
      <c r="D10" s="209">
        <v>4</v>
      </c>
      <c r="E10" s="215">
        <f t="shared" si="0"/>
        <v>15</v>
      </c>
      <c r="F10" s="216">
        <f t="shared" si="4"/>
        <v>27.266666666666666</v>
      </c>
      <c r="G10" s="216">
        <f t="shared" si="1"/>
        <v>0.1854875283446712</v>
      </c>
      <c r="H10" s="152">
        <f>'Cost Worksheet 2'!$F$7*G10</f>
        <v>401.88964474678755</v>
      </c>
      <c r="I10" s="152">
        <f>'Cost Worksheet 2'!$H$16*G10</f>
        <v>38.58140589569161</v>
      </c>
      <c r="J10" s="152">
        <f>'Cost Worksheet 2'!$H$26*G10</f>
        <v>98.28706961711889</v>
      </c>
      <c r="K10" s="152">
        <f>'Cost Worksheet 2'!$I$41*G10</f>
        <v>25.67387044443851</v>
      </c>
      <c r="L10" s="84">
        <f t="shared" si="2"/>
        <v>564.4319907040366</v>
      </c>
      <c r="M10" s="84">
        <f t="shared" si="3"/>
        <v>1.380029317124784</v>
      </c>
      <c r="N10" s="190"/>
      <c r="O10" s="63"/>
    </row>
    <row r="11" spans="1:15" ht="12.75">
      <c r="A11" s="63"/>
      <c r="B11" s="110" t="s">
        <v>108</v>
      </c>
      <c r="C11" s="210">
        <v>409</v>
      </c>
      <c r="D11" s="209">
        <v>8</v>
      </c>
      <c r="E11" s="215">
        <f t="shared" si="0"/>
        <v>7.5</v>
      </c>
      <c r="F11" s="216">
        <f t="shared" si="4"/>
        <v>54.53333333333333</v>
      </c>
      <c r="G11" s="216">
        <f t="shared" si="1"/>
        <v>0.3709750566893424</v>
      </c>
      <c r="H11" s="152">
        <f>'Cost Worksheet 2'!$F$7*G11</f>
        <v>803.7792894935751</v>
      </c>
      <c r="I11" s="152">
        <f>'Cost Worksheet 2'!$H$16*G11</f>
        <v>77.16281179138322</v>
      </c>
      <c r="J11" s="152">
        <f>'Cost Worksheet 2'!$H$26*G11</f>
        <v>196.57413923423778</v>
      </c>
      <c r="K11" s="152">
        <f>'Cost Worksheet 2'!$I$41*G11</f>
        <v>51.34774088887702</v>
      </c>
      <c r="L11" s="84">
        <f t="shared" si="2"/>
        <v>1128.8639814080732</v>
      </c>
      <c r="M11" s="84">
        <f t="shared" si="3"/>
        <v>2.760058634249568</v>
      </c>
      <c r="N11" s="190"/>
      <c r="O11" s="63"/>
    </row>
    <row r="12" spans="1:15" ht="12.75">
      <c r="A12" s="65"/>
      <c r="B12" s="112" t="s">
        <v>101</v>
      </c>
      <c r="C12" s="210">
        <v>193.5</v>
      </c>
      <c r="D12" s="209">
        <v>6</v>
      </c>
      <c r="E12" s="215">
        <f t="shared" si="0"/>
        <v>10</v>
      </c>
      <c r="F12" s="216">
        <f t="shared" si="4"/>
        <v>19.35</v>
      </c>
      <c r="G12" s="216">
        <f t="shared" si="1"/>
        <v>0.13163265306122449</v>
      </c>
      <c r="H12" s="152">
        <f>'Cost Worksheet 2'!$F$7*G12</f>
        <v>285.204081632653</v>
      </c>
      <c r="I12" s="152">
        <f>'Cost Worksheet 2'!$H$16*G12</f>
        <v>27.379591836734694</v>
      </c>
      <c r="J12" s="152">
        <f>'Cost Worksheet 2'!$H$26*G12</f>
        <v>69.75017593244195</v>
      </c>
      <c r="K12" s="152">
        <f>'Cost Worksheet 2'!$I$41*G12</f>
        <v>18.21965989363882</v>
      </c>
      <c r="L12" s="151">
        <f t="shared" si="2"/>
        <v>400.5535092954685</v>
      </c>
      <c r="M12" s="84">
        <f t="shared" si="3"/>
        <v>2.0700439756871756</v>
      </c>
      <c r="N12" s="191"/>
      <c r="O12" s="65"/>
    </row>
    <row r="13" spans="1:15" ht="12.75">
      <c r="A13" s="65"/>
      <c r="B13" s="112" t="s">
        <v>103</v>
      </c>
      <c r="C13" s="210">
        <v>387</v>
      </c>
      <c r="D13" s="209">
        <v>36</v>
      </c>
      <c r="E13" s="215">
        <f t="shared" si="0"/>
        <v>1.6666666666666667</v>
      </c>
      <c r="F13" s="216">
        <f t="shared" si="4"/>
        <v>232.2</v>
      </c>
      <c r="G13" s="216">
        <f t="shared" si="1"/>
        <v>1.5795918367346937</v>
      </c>
      <c r="H13" s="152">
        <f>'Cost Worksheet 2'!$F$7*G13</f>
        <v>3422.448979591836</v>
      </c>
      <c r="I13" s="153">
        <f>'Cost Worksheet 2'!$H$16*G13</f>
        <v>328.5551020408163</v>
      </c>
      <c r="J13" s="154">
        <f>'Cost Worksheet 2'!$H$26*G13</f>
        <v>837.0021111893033</v>
      </c>
      <c r="K13" s="152">
        <f>'Cost Worksheet 2'!$I$41*G13</f>
        <v>218.63591872366584</v>
      </c>
      <c r="L13" s="84">
        <f t="shared" si="2"/>
        <v>4806.642111545621</v>
      </c>
      <c r="M13" s="84">
        <f t="shared" si="3"/>
        <v>12.420263854123053</v>
      </c>
      <c r="N13" s="191"/>
      <c r="O13" s="65"/>
    </row>
    <row r="14" spans="1:15" ht="12.75">
      <c r="A14" s="63"/>
      <c r="B14" s="110" t="s">
        <v>102</v>
      </c>
      <c r="C14" s="210">
        <v>276</v>
      </c>
      <c r="D14" s="209">
        <v>28</v>
      </c>
      <c r="E14" s="215">
        <f t="shared" si="0"/>
        <v>2.142857142857143</v>
      </c>
      <c r="F14" s="216">
        <f t="shared" si="4"/>
        <v>128.8</v>
      </c>
      <c r="G14" s="216">
        <f t="shared" si="1"/>
        <v>0.8761904761904763</v>
      </c>
      <c r="H14" s="152">
        <f>'Cost Worksheet 2'!$F$7*G14</f>
        <v>1898.4126984126985</v>
      </c>
      <c r="I14" s="153">
        <f>'Cost Worksheet 2'!$H$16*G14</f>
        <v>182.24761904761908</v>
      </c>
      <c r="J14" s="153">
        <f>'Cost Worksheet 2'!$H$26*G14</f>
        <v>464.28024083196505</v>
      </c>
      <c r="K14" s="152">
        <f>'Cost Worksheet 2'!$I$41*G14</f>
        <v>121.27608239280002</v>
      </c>
      <c r="L14" s="84">
        <f t="shared" si="2"/>
        <v>2666.216640685083</v>
      </c>
      <c r="M14" s="84">
        <f t="shared" si="3"/>
        <v>9.66020521987349</v>
      </c>
      <c r="N14" s="190"/>
      <c r="O14" s="63"/>
    </row>
    <row r="15" spans="1:15" ht="12.75">
      <c r="A15" s="65"/>
      <c r="B15" s="112" t="s">
        <v>99</v>
      </c>
      <c r="C15" s="210">
        <v>10</v>
      </c>
      <c r="D15" s="209">
        <v>4</v>
      </c>
      <c r="E15" s="215">
        <f t="shared" si="0"/>
        <v>15</v>
      </c>
      <c r="F15" s="216">
        <f t="shared" si="4"/>
        <v>0.6666666666666666</v>
      </c>
      <c r="G15" s="216">
        <f t="shared" si="1"/>
        <v>0.0045351473922902496</v>
      </c>
      <c r="H15" s="152">
        <f>'Cost Worksheet 2'!$F$7*G15</f>
        <v>9.82615268329554</v>
      </c>
      <c r="I15" s="152">
        <f>'Cost Worksheet 2'!$H$16*G15</f>
        <v>0.9433106575963719</v>
      </c>
      <c r="J15" s="152">
        <f>'Cost Worksheet 2'!$H$26*G15</f>
        <v>2.403106836604374</v>
      </c>
      <c r="K15" s="152">
        <f>'Cost Worksheet 2'!$I$41*G15</f>
        <v>0.6277229937515528</v>
      </c>
      <c r="L15" s="84">
        <f t="shared" si="2"/>
        <v>13.800293171247839</v>
      </c>
      <c r="M15" s="84">
        <f t="shared" si="3"/>
        <v>1.380029317124784</v>
      </c>
      <c r="N15" s="191"/>
      <c r="O15" s="65"/>
    </row>
    <row r="16" spans="1:15" ht="12.75">
      <c r="A16" s="65"/>
      <c r="B16" s="112" t="s">
        <v>89</v>
      </c>
      <c r="C16" s="210">
        <v>663</v>
      </c>
      <c r="D16" s="209">
        <v>11</v>
      </c>
      <c r="E16" s="215">
        <f t="shared" si="0"/>
        <v>5.454545454545454</v>
      </c>
      <c r="F16" s="216">
        <f t="shared" si="4"/>
        <v>121.55</v>
      </c>
      <c r="G16" s="216">
        <f t="shared" si="1"/>
        <v>0.8268707482993197</v>
      </c>
      <c r="H16" s="152">
        <f>'Cost Worksheet 2'!$F$7*G16</f>
        <v>1791.5532879818593</v>
      </c>
      <c r="I16" s="153">
        <f>'Cost Worksheet 2'!$H$16*G16</f>
        <v>171.9891156462585</v>
      </c>
      <c r="J16" s="153">
        <f>'Cost Worksheet 2'!$H$26*G16</f>
        <v>438.14645398389246</v>
      </c>
      <c r="K16" s="152">
        <f>'Cost Worksheet 2'!$I$41*G16</f>
        <v>114.44959483575187</v>
      </c>
      <c r="L16" s="84">
        <f t="shared" si="2"/>
        <v>2516.138452447762</v>
      </c>
      <c r="M16" s="84">
        <f t="shared" si="3"/>
        <v>3.7950806220931557</v>
      </c>
      <c r="N16" s="191"/>
      <c r="O16" s="62"/>
    </row>
    <row r="17" spans="1:15" ht="12.75">
      <c r="A17" s="65"/>
      <c r="B17" s="112" t="s">
        <v>96</v>
      </c>
      <c r="C17" s="210">
        <v>663</v>
      </c>
      <c r="D17" s="209">
        <v>2</v>
      </c>
      <c r="E17" s="215">
        <f t="shared" si="0"/>
        <v>30</v>
      </c>
      <c r="F17" s="216">
        <f t="shared" si="4"/>
        <v>22.1</v>
      </c>
      <c r="G17" s="216">
        <f t="shared" si="1"/>
        <v>0.15034013605442179</v>
      </c>
      <c r="H17" s="152">
        <f>'Cost Worksheet 2'!$F$7*G17</f>
        <v>325.73696145124717</v>
      </c>
      <c r="I17" s="153">
        <f>'Cost Worksheet 2'!$H$16*G17</f>
        <v>31.27074829931973</v>
      </c>
      <c r="J17" s="153">
        <f>'Cost Worksheet 2'!$H$26*G17</f>
        <v>79.662991633435</v>
      </c>
      <c r="K17" s="152">
        <f>'Cost Worksheet 2'!$I$41*G17</f>
        <v>20.80901724286398</v>
      </c>
      <c r="L17" s="84">
        <f t="shared" si="2"/>
        <v>457.4797186268659</v>
      </c>
      <c r="M17" s="84">
        <f t="shared" si="3"/>
        <v>0.6900146585623921</v>
      </c>
      <c r="N17" s="192"/>
      <c r="O17" s="65"/>
    </row>
    <row r="18" spans="1:15" ht="12.75">
      <c r="A18" s="65"/>
      <c r="B18" s="188" t="s">
        <v>115</v>
      </c>
      <c r="C18" s="211"/>
      <c r="D18" s="212"/>
      <c r="E18" s="205"/>
      <c r="F18" s="206">
        <f>SUM(F19:F27)</f>
        <v>7070</v>
      </c>
      <c r="G18" s="206">
        <f>SUM(G19:G27)</f>
        <v>48.095238095238095</v>
      </c>
      <c r="H18" s="155"/>
      <c r="I18" s="156"/>
      <c r="J18" s="156"/>
      <c r="K18" s="156"/>
      <c r="L18" s="75"/>
      <c r="M18" s="75"/>
      <c r="N18" s="193">
        <v>25.588850131651025</v>
      </c>
      <c r="O18" s="65"/>
    </row>
    <row r="19" spans="1:15" ht="12.75">
      <c r="A19" s="65"/>
      <c r="B19" s="110" t="s">
        <v>111</v>
      </c>
      <c r="C19" s="208">
        <v>20</v>
      </c>
      <c r="D19" s="209">
        <v>60</v>
      </c>
      <c r="E19" s="204">
        <f>60/D19</f>
        <v>1</v>
      </c>
      <c r="F19" s="200">
        <f>C19*D19/60</f>
        <v>20</v>
      </c>
      <c r="G19" s="200">
        <f>(C19*D19/60)/$I$2</f>
        <v>0.1360544217687075</v>
      </c>
      <c r="H19" s="153">
        <v>1.8792517006802723</v>
      </c>
      <c r="I19" s="153">
        <v>0.11791383219954649</v>
      </c>
      <c r="J19" s="153">
        <v>0.16247578213916475</v>
      </c>
      <c r="K19" s="153">
        <v>0.6994480851654887</v>
      </c>
      <c r="L19" s="85">
        <v>2.859089400184472</v>
      </c>
      <c r="M19" s="85">
        <v>2.859089400184472</v>
      </c>
      <c r="N19" s="191"/>
      <c r="O19" s="65"/>
    </row>
    <row r="20" spans="1:15" ht="12.75">
      <c r="A20" s="65"/>
      <c r="B20" s="110" t="s">
        <v>109</v>
      </c>
      <c r="C20" s="208">
        <v>6500</v>
      </c>
      <c r="D20" s="209">
        <v>20</v>
      </c>
      <c r="E20" s="204">
        <f aca="true" t="shared" si="5" ref="E20:E27">60/D20</f>
        <v>3</v>
      </c>
      <c r="F20" s="200">
        <f aca="true" t="shared" si="6" ref="F20:F27">C20*D20/60</f>
        <v>2166.6666666666665</v>
      </c>
      <c r="G20" s="200">
        <f aca="true" t="shared" si="7" ref="G20:G27">(C20*D20/60)/$I$2</f>
        <v>14.73922902494331</v>
      </c>
      <c r="H20" s="153">
        <v>150.34013605442178</v>
      </c>
      <c r="I20" s="153">
        <v>9.433106575963718</v>
      </c>
      <c r="J20" s="153">
        <v>12.998062571133179</v>
      </c>
      <c r="K20" s="153">
        <v>55.9558468132391</v>
      </c>
      <c r="L20" s="85">
        <v>228.72715201475776</v>
      </c>
      <c r="M20" s="85">
        <v>11.436357600737889</v>
      </c>
      <c r="N20" s="191"/>
      <c r="O20" s="65"/>
    </row>
    <row r="21" spans="1:15" ht="12.75">
      <c r="A21" s="65"/>
      <c r="B21" s="110" t="s">
        <v>112</v>
      </c>
      <c r="C21" s="208">
        <v>3500</v>
      </c>
      <c r="D21" s="209">
        <v>22</v>
      </c>
      <c r="E21" s="204">
        <f t="shared" si="5"/>
        <v>2.727272727272727</v>
      </c>
      <c r="F21" s="200">
        <f t="shared" si="6"/>
        <v>1283.3333333333333</v>
      </c>
      <c r="G21" s="200">
        <f t="shared" si="7"/>
        <v>8.73015873015873</v>
      </c>
      <c r="H21" s="153">
        <v>37.585034013605444</v>
      </c>
      <c r="I21" s="153">
        <v>2.3582766439909295</v>
      </c>
      <c r="J21" s="153">
        <v>3.2495156427832947</v>
      </c>
      <c r="K21" s="153">
        <v>13.988961703309775</v>
      </c>
      <c r="L21" s="85">
        <v>57.18178800368944</v>
      </c>
      <c r="M21" s="85">
        <v>0.2859089400184472</v>
      </c>
      <c r="N21" s="191"/>
      <c r="O21" s="65"/>
    </row>
    <row r="22" spans="1:15" ht="12.75">
      <c r="A22" s="65"/>
      <c r="B22" s="110" t="s">
        <v>107</v>
      </c>
      <c r="C22" s="208">
        <v>9000</v>
      </c>
      <c r="D22" s="209">
        <v>3</v>
      </c>
      <c r="E22" s="204">
        <f t="shared" si="5"/>
        <v>20</v>
      </c>
      <c r="F22" s="200">
        <f t="shared" si="6"/>
        <v>450</v>
      </c>
      <c r="G22" s="200">
        <f t="shared" si="7"/>
        <v>3.061224489795918</v>
      </c>
      <c r="H22" s="153">
        <v>22.551020408163264</v>
      </c>
      <c r="I22" s="153">
        <v>1.4149659863945578</v>
      </c>
      <c r="J22" s="153">
        <v>1.9497093856699768</v>
      </c>
      <c r="K22" s="153">
        <v>8.393377021985865</v>
      </c>
      <c r="L22" s="85">
        <v>34.30907280221366</v>
      </c>
      <c r="M22" s="85">
        <v>1.7154536401106832</v>
      </c>
      <c r="N22" s="191"/>
      <c r="O22" s="65"/>
    </row>
    <row r="23" spans="1:15" ht="12.75">
      <c r="A23" s="65"/>
      <c r="B23" s="110" t="s">
        <v>94</v>
      </c>
      <c r="C23" s="208">
        <v>9000</v>
      </c>
      <c r="D23" s="209">
        <v>1</v>
      </c>
      <c r="E23" s="204">
        <f t="shared" si="5"/>
        <v>60</v>
      </c>
      <c r="F23" s="200">
        <f t="shared" si="6"/>
        <v>150</v>
      </c>
      <c r="G23" s="200">
        <f t="shared" si="7"/>
        <v>1.0204081632653061</v>
      </c>
      <c r="H23" s="153">
        <v>7.517006802721089</v>
      </c>
      <c r="I23" s="153">
        <v>0.47165532879818595</v>
      </c>
      <c r="J23" s="153">
        <v>0.649903128556659</v>
      </c>
      <c r="K23" s="153">
        <v>2.797792340661955</v>
      </c>
      <c r="L23" s="85">
        <v>11.436357600737889</v>
      </c>
      <c r="M23" s="85">
        <v>0.5718178800368945</v>
      </c>
      <c r="N23" s="191"/>
      <c r="O23" s="65"/>
    </row>
    <row r="24" spans="1:15" ht="12.75">
      <c r="A24" s="65"/>
      <c r="B24" s="110" t="s">
        <v>113</v>
      </c>
      <c r="C24" s="208">
        <v>9000</v>
      </c>
      <c r="D24" s="209">
        <v>0.5</v>
      </c>
      <c r="E24" s="207">
        <f t="shared" si="5"/>
        <v>120</v>
      </c>
      <c r="F24" s="200">
        <f t="shared" si="6"/>
        <v>75</v>
      </c>
      <c r="G24" s="200">
        <f t="shared" si="7"/>
        <v>0.5102040816326531</v>
      </c>
      <c r="H24" s="153">
        <v>3.7585034013605445</v>
      </c>
      <c r="I24" s="153">
        <v>0.23582766439909297</v>
      </c>
      <c r="J24" s="153">
        <v>0.3249515642783295</v>
      </c>
      <c r="K24" s="153">
        <v>1.3988961703309775</v>
      </c>
      <c r="L24" s="85">
        <v>5.718178800368944</v>
      </c>
      <c r="M24" s="85">
        <v>0.28590894001844724</v>
      </c>
      <c r="N24" s="191"/>
      <c r="O24" s="65"/>
    </row>
    <row r="25" spans="1:15" ht="12.75">
      <c r="A25" s="63"/>
      <c r="B25" s="110" t="s">
        <v>97</v>
      </c>
      <c r="C25" s="208">
        <v>7500</v>
      </c>
      <c r="D25" s="209">
        <v>9</v>
      </c>
      <c r="E25" s="204">
        <f t="shared" si="5"/>
        <v>6.666666666666667</v>
      </c>
      <c r="F25" s="200">
        <f t="shared" si="6"/>
        <v>1125</v>
      </c>
      <c r="G25" s="200">
        <f t="shared" si="7"/>
        <v>7.653061224489796</v>
      </c>
      <c r="H25" s="152">
        <v>75.17006802721089</v>
      </c>
      <c r="I25" s="152">
        <v>4.716553287981859</v>
      </c>
      <c r="J25" s="152">
        <v>6.4990312855665895</v>
      </c>
      <c r="K25" s="153">
        <v>27.97792340661955</v>
      </c>
      <c r="L25" s="85">
        <v>114.36357600737888</v>
      </c>
      <c r="M25" s="85">
        <v>5.718178800368944</v>
      </c>
      <c r="N25" s="190"/>
      <c r="O25" s="63"/>
    </row>
    <row r="26" spans="1:15" ht="12.75">
      <c r="A26" s="65"/>
      <c r="B26" s="110" t="s">
        <v>117</v>
      </c>
      <c r="C26" s="208">
        <v>7500</v>
      </c>
      <c r="D26" s="209">
        <v>12</v>
      </c>
      <c r="E26" s="204">
        <f t="shared" si="5"/>
        <v>5</v>
      </c>
      <c r="F26" s="200">
        <f t="shared" si="6"/>
        <v>1500</v>
      </c>
      <c r="G26" s="200">
        <f t="shared" si="7"/>
        <v>10.204081632653061</v>
      </c>
      <c r="H26" s="153">
        <v>15.034013605442178</v>
      </c>
      <c r="I26" s="153">
        <v>0.9433106575963719</v>
      </c>
      <c r="J26" s="153">
        <v>1.299806257113318</v>
      </c>
      <c r="K26" s="153">
        <v>5.59558468132391</v>
      </c>
      <c r="L26" s="85">
        <v>22.872715201475778</v>
      </c>
      <c r="M26" s="85">
        <v>1.143635760073789</v>
      </c>
      <c r="N26" s="191"/>
      <c r="O26" s="65"/>
    </row>
    <row r="27" spans="1:15" ht="12.75">
      <c r="A27" s="65"/>
      <c r="B27" s="110" t="s">
        <v>93</v>
      </c>
      <c r="C27" s="208">
        <v>9000</v>
      </c>
      <c r="D27" s="209">
        <v>2</v>
      </c>
      <c r="E27" s="204">
        <f t="shared" si="5"/>
        <v>30</v>
      </c>
      <c r="F27" s="200">
        <f t="shared" si="6"/>
        <v>300</v>
      </c>
      <c r="G27" s="200">
        <f t="shared" si="7"/>
        <v>2.0408163265306123</v>
      </c>
      <c r="H27" s="153">
        <v>15.034013605442178</v>
      </c>
      <c r="I27" s="153">
        <v>0.9433106575963719</v>
      </c>
      <c r="J27" s="153">
        <v>1.299806257113318</v>
      </c>
      <c r="K27" s="153">
        <v>5.59558468132391</v>
      </c>
      <c r="L27" s="85">
        <v>22.872715201475778</v>
      </c>
      <c r="M27" s="85">
        <v>1.143635760073789</v>
      </c>
      <c r="N27" s="192"/>
      <c r="O27" s="65"/>
    </row>
    <row r="28" spans="1:15" ht="12.75">
      <c r="A28" s="65"/>
      <c r="B28" s="194" t="s">
        <v>88</v>
      </c>
      <c r="C28" s="213"/>
      <c r="D28" s="213"/>
      <c r="E28" s="205"/>
      <c r="F28" s="206">
        <f>SUM(F29:F37)</f>
        <v>677.6666666666666</v>
      </c>
      <c r="G28" s="206">
        <f>SUM(G29:G37)</f>
        <v>4.609977324263039</v>
      </c>
      <c r="H28" s="155"/>
      <c r="I28" s="156"/>
      <c r="J28" s="156"/>
      <c r="K28" s="156"/>
      <c r="L28" s="75"/>
      <c r="M28" s="75"/>
      <c r="N28" s="193">
        <v>39.621219886076084</v>
      </c>
      <c r="O28" s="65"/>
    </row>
    <row r="29" spans="1:15" ht="12.75">
      <c r="A29" s="65"/>
      <c r="B29" s="112" t="s">
        <v>118</v>
      </c>
      <c r="C29" s="208">
        <v>5500</v>
      </c>
      <c r="D29" s="209">
        <v>3</v>
      </c>
      <c r="E29" s="204">
        <f>60/D29</f>
        <v>20</v>
      </c>
      <c r="F29" s="200">
        <f>C29*D29/60</f>
        <v>275</v>
      </c>
      <c r="G29" s="200">
        <f>(C29*D29/60)/$I$2</f>
        <v>1.870748299319728</v>
      </c>
      <c r="H29" s="153">
        <v>789.2857142857143</v>
      </c>
      <c r="I29" s="153">
        <v>42.44897959183673</v>
      </c>
      <c r="J29" s="153">
        <v>58.491281570099304</v>
      </c>
      <c r="K29" s="153">
        <v>251.80131065957596</v>
      </c>
      <c r="L29" s="85">
        <v>1142.0272861072262</v>
      </c>
      <c r="M29" s="85">
        <v>6.344596033929035</v>
      </c>
      <c r="N29" s="191"/>
      <c r="O29" s="62"/>
    </row>
    <row r="30" spans="1:15" ht="12.75">
      <c r="A30" s="65"/>
      <c r="B30" s="112" t="s">
        <v>119</v>
      </c>
      <c r="C30" s="208">
        <v>1000</v>
      </c>
      <c r="D30" s="209">
        <v>14</v>
      </c>
      <c r="E30" s="204">
        <f aca="true" t="shared" si="8" ref="E30:E37">60/D30</f>
        <v>4.285714285714286</v>
      </c>
      <c r="F30" s="200">
        <f aca="true" t="shared" si="9" ref="F30:F37">C30*D30/60</f>
        <v>233.33333333333334</v>
      </c>
      <c r="G30" s="200">
        <f aca="true" t="shared" si="10" ref="G30:G37">(C30*D30/60)/$I$2</f>
        <v>1.5873015873015874</v>
      </c>
      <c r="H30" s="153">
        <v>118.39285714285714</v>
      </c>
      <c r="I30" s="153">
        <v>7.428571428571428</v>
      </c>
      <c r="J30" s="153">
        <v>10.235974274767377</v>
      </c>
      <c r="K30" s="153">
        <v>44.065229365425786</v>
      </c>
      <c r="L30" s="85">
        <v>180.12263221162172</v>
      </c>
      <c r="M30" s="85">
        <v>8.005450320516522</v>
      </c>
      <c r="N30" s="191"/>
      <c r="O30" s="65"/>
    </row>
    <row r="31" spans="1:15" ht="12.75">
      <c r="A31" s="65"/>
      <c r="B31" s="112" t="s">
        <v>105</v>
      </c>
      <c r="C31" s="208">
        <v>350</v>
      </c>
      <c r="D31" s="209">
        <v>16</v>
      </c>
      <c r="E31" s="204">
        <f t="shared" si="8"/>
        <v>3.75</v>
      </c>
      <c r="F31" s="200">
        <f t="shared" si="9"/>
        <v>93.33333333333333</v>
      </c>
      <c r="G31" s="200">
        <f t="shared" si="10"/>
        <v>0.6349206349206349</v>
      </c>
      <c r="H31" s="153">
        <v>2104.7619047619046</v>
      </c>
      <c r="I31" s="153">
        <v>132.06349206349205</v>
      </c>
      <c r="J31" s="153">
        <v>181.97287599586448</v>
      </c>
      <c r="K31" s="153">
        <v>783.3818553853473</v>
      </c>
      <c r="L31" s="85">
        <v>3202.180128206608</v>
      </c>
      <c r="M31" s="85">
        <v>9.149086080590308</v>
      </c>
      <c r="N31" s="191"/>
      <c r="O31" s="65"/>
    </row>
    <row r="32" spans="1:15" ht="12.75">
      <c r="A32" s="65"/>
      <c r="B32" s="112" t="s">
        <v>98</v>
      </c>
      <c r="C32" s="208">
        <v>100</v>
      </c>
      <c r="D32" s="209">
        <v>22</v>
      </c>
      <c r="E32" s="204">
        <f t="shared" si="8"/>
        <v>2.727272727272727</v>
      </c>
      <c r="F32" s="200">
        <f t="shared" si="9"/>
        <v>36.666666666666664</v>
      </c>
      <c r="G32" s="200">
        <f t="shared" si="10"/>
        <v>0.2494331065759637</v>
      </c>
      <c r="H32" s="153">
        <v>826.8707482993196</v>
      </c>
      <c r="I32" s="153">
        <v>51.88208616780045</v>
      </c>
      <c r="J32" s="153">
        <v>71.48934414123248</v>
      </c>
      <c r="K32" s="153">
        <v>307.75715747281504</v>
      </c>
      <c r="L32" s="85">
        <v>1257.9993360811677</v>
      </c>
      <c r="M32" s="85">
        <v>12.579993360811677</v>
      </c>
      <c r="N32" s="191"/>
      <c r="O32" s="65"/>
    </row>
    <row r="33" spans="1:15" ht="12.75">
      <c r="A33" s="65"/>
      <c r="B33" s="112" t="s">
        <v>100</v>
      </c>
      <c r="C33" s="208">
        <v>50</v>
      </c>
      <c r="D33" s="209">
        <v>9</v>
      </c>
      <c r="E33" s="204">
        <f t="shared" si="8"/>
        <v>6.666666666666667</v>
      </c>
      <c r="F33" s="200">
        <f t="shared" si="9"/>
        <v>7.5</v>
      </c>
      <c r="G33" s="200">
        <f t="shared" si="10"/>
        <v>0.05102040816326531</v>
      </c>
      <c r="H33" s="153">
        <v>169.1326530612245</v>
      </c>
      <c r="I33" s="153">
        <v>10.612244897959183</v>
      </c>
      <c r="J33" s="153">
        <v>14.622820392524826</v>
      </c>
      <c r="K33" s="153">
        <v>62.95032766489399</v>
      </c>
      <c r="L33" s="85">
        <v>257.31804601660247</v>
      </c>
      <c r="M33" s="85">
        <v>5.146360920332049</v>
      </c>
      <c r="N33" s="191"/>
      <c r="O33" s="65"/>
    </row>
    <row r="34" spans="1:15" ht="12.75">
      <c r="A34" s="65"/>
      <c r="B34" s="110" t="s">
        <v>95</v>
      </c>
      <c r="C34" s="214">
        <v>10</v>
      </c>
      <c r="D34" s="209">
        <v>17</v>
      </c>
      <c r="E34" s="204">
        <f t="shared" si="8"/>
        <v>3.5294117647058822</v>
      </c>
      <c r="F34" s="200">
        <f t="shared" si="9"/>
        <v>2.8333333333333335</v>
      </c>
      <c r="G34" s="200">
        <f t="shared" si="10"/>
        <v>0.01927437641723356</v>
      </c>
      <c r="H34" s="153">
        <v>63.89455782312925</v>
      </c>
      <c r="I34" s="153">
        <v>4.00907029478458</v>
      </c>
      <c r="J34" s="153">
        <v>5.5241765927316</v>
      </c>
      <c r="K34" s="153">
        <v>23.781234895626618</v>
      </c>
      <c r="L34" s="85">
        <v>97.20903960627206</v>
      </c>
      <c r="M34" s="85">
        <v>9.720903960627206</v>
      </c>
      <c r="N34" s="191"/>
      <c r="O34" s="65"/>
    </row>
    <row r="35" spans="1:15" ht="12.75">
      <c r="A35" s="65"/>
      <c r="B35" s="112" t="s">
        <v>106</v>
      </c>
      <c r="C35" s="208">
        <v>50</v>
      </c>
      <c r="D35" s="209">
        <v>5</v>
      </c>
      <c r="E35" s="204">
        <f t="shared" si="8"/>
        <v>12</v>
      </c>
      <c r="F35" s="200">
        <f t="shared" si="9"/>
        <v>4.166666666666667</v>
      </c>
      <c r="G35" s="200">
        <f t="shared" si="10"/>
        <v>0.02834467120181406</v>
      </c>
      <c r="H35" s="153">
        <v>93.96258503401361</v>
      </c>
      <c r="I35" s="153">
        <v>5.895691609977325</v>
      </c>
      <c r="J35" s="153">
        <v>8.123789106958236</v>
      </c>
      <c r="K35" s="153">
        <v>34.97240425827444</v>
      </c>
      <c r="L35" s="85">
        <v>142.9544700092236</v>
      </c>
      <c r="M35" s="85">
        <v>2.8590894001844718</v>
      </c>
      <c r="N35" s="191"/>
      <c r="O35" s="65"/>
    </row>
    <row r="36" spans="1:15" ht="12.75">
      <c r="A36" s="65"/>
      <c r="B36" s="112" t="s">
        <v>89</v>
      </c>
      <c r="C36" s="208">
        <v>372.5</v>
      </c>
      <c r="D36" s="209">
        <v>2</v>
      </c>
      <c r="E36" s="204">
        <f t="shared" si="8"/>
        <v>30</v>
      </c>
      <c r="F36" s="200">
        <f t="shared" si="9"/>
        <v>12.416666666666666</v>
      </c>
      <c r="G36" s="200">
        <f t="shared" si="10"/>
        <v>0.0844671201814059</v>
      </c>
      <c r="H36" s="153">
        <v>280.00850340136054</v>
      </c>
      <c r="I36" s="153">
        <v>17.569160997732425</v>
      </c>
      <c r="J36" s="153">
        <v>24.208891538735546</v>
      </c>
      <c r="K36" s="153">
        <v>104.21776468965783</v>
      </c>
      <c r="L36" s="85">
        <v>426.0043206274863</v>
      </c>
      <c r="M36" s="85">
        <v>1.1436357600737888</v>
      </c>
      <c r="N36" s="191"/>
      <c r="O36" s="62"/>
    </row>
    <row r="37" spans="1:15" ht="12.75">
      <c r="A37" s="65"/>
      <c r="B37" s="110" t="s">
        <v>90</v>
      </c>
      <c r="C37" s="208">
        <v>372.5</v>
      </c>
      <c r="D37" s="209">
        <v>2</v>
      </c>
      <c r="E37" s="204">
        <f t="shared" si="8"/>
        <v>30</v>
      </c>
      <c r="F37" s="200">
        <f t="shared" si="9"/>
        <v>12.416666666666666</v>
      </c>
      <c r="G37" s="200">
        <f t="shared" si="10"/>
        <v>0.0844671201814059</v>
      </c>
      <c r="H37" s="153">
        <v>280.00850340136054</v>
      </c>
      <c r="I37" s="153">
        <v>17.569160997732425</v>
      </c>
      <c r="J37" s="153">
        <v>24.208891538735546</v>
      </c>
      <c r="K37" s="153">
        <v>104.21776468965783</v>
      </c>
      <c r="L37" s="85">
        <v>426.0043206274863</v>
      </c>
      <c r="M37" s="85">
        <v>1.1436357600737888</v>
      </c>
      <c r="N37" s="195"/>
      <c r="O37" s="65"/>
    </row>
    <row r="38" spans="1:15" ht="12.75">
      <c r="A38" s="65"/>
      <c r="B38" s="83" t="s">
        <v>28</v>
      </c>
      <c r="C38" s="108"/>
      <c r="D38" s="109"/>
      <c r="E38" s="92"/>
      <c r="F38" s="186">
        <f>SUM(F7,F18,F28)</f>
        <v>9294.133333333333</v>
      </c>
      <c r="G38" s="186">
        <f>SUM(G7,G18,G28)</f>
        <v>63.22539682539683</v>
      </c>
      <c r="H38" s="95">
        <v>73538.3018735828</v>
      </c>
      <c r="I38" s="95">
        <v>112250.56576870749</v>
      </c>
      <c r="J38" s="95">
        <v>6012.77408973206</v>
      </c>
      <c r="K38" s="95">
        <v>25884.61657623244</v>
      </c>
      <c r="L38" s="96">
        <v>217686.2583082548</v>
      </c>
      <c r="M38" s="93"/>
      <c r="N38" s="187"/>
      <c r="O38" s="65"/>
    </row>
    <row r="39" spans="1:15" ht="13.5" thickBot="1">
      <c r="A39" s="65"/>
      <c r="B39" s="76"/>
      <c r="C39" s="77"/>
      <c r="D39" s="78"/>
      <c r="E39" s="77"/>
      <c r="F39" s="77"/>
      <c r="G39" s="202"/>
      <c r="H39" s="80"/>
      <c r="I39" s="80"/>
      <c r="J39" s="80"/>
      <c r="K39" s="80"/>
      <c r="L39" s="80"/>
      <c r="M39" s="80"/>
      <c r="N39" s="196"/>
      <c r="O39" s="65"/>
    </row>
    <row r="40" spans="1:15" ht="12.75">
      <c r="A40" s="65"/>
      <c r="B40" s="62"/>
      <c r="C40" s="63"/>
      <c r="D40" s="64"/>
      <c r="E40" s="63"/>
      <c r="F40" s="63"/>
      <c r="G40" s="201"/>
      <c r="H40" s="65"/>
      <c r="I40" s="65"/>
      <c r="J40" s="65"/>
      <c r="K40" s="65"/>
      <c r="L40" s="65"/>
      <c r="M40" s="65"/>
      <c r="N40" s="62"/>
      <c r="O40" s="65"/>
    </row>
  </sheetData>
  <sheetProtection/>
  <mergeCells count="14">
    <mergeCell ref="K4:K5"/>
    <mergeCell ref="J4:J5"/>
    <mergeCell ref="I4:I5"/>
    <mergeCell ref="H4:H5"/>
    <mergeCell ref="B2:G2"/>
    <mergeCell ref="L3:L5"/>
    <mergeCell ref="N3:N5"/>
    <mergeCell ref="M3:M5"/>
    <mergeCell ref="E3:E5"/>
    <mergeCell ref="G3:G5"/>
    <mergeCell ref="C3:C5"/>
    <mergeCell ref="F3:F5"/>
    <mergeCell ref="D3:D5"/>
    <mergeCell ref="H3:K3"/>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M44"/>
  <sheetViews>
    <sheetView zoomScalePageLayoutView="0" workbookViewId="0" topLeftCell="A1">
      <selection activeCell="L2" sqref="L2"/>
    </sheetView>
  </sheetViews>
  <sheetFormatPr defaultColWidth="9.33203125" defaultRowHeight="12.75"/>
  <cols>
    <col min="1" max="1" width="3.83203125" style="15" customWidth="1"/>
    <col min="2" max="2" width="31.83203125" style="15" customWidth="1"/>
    <col min="3" max="3" width="16.66015625" style="15" bestFit="1" customWidth="1"/>
    <col min="4" max="4" width="15.5" style="15" bestFit="1" customWidth="1"/>
    <col min="5" max="5" width="18.5" style="15" bestFit="1" customWidth="1"/>
    <col min="6" max="6" width="23.5" style="15" bestFit="1" customWidth="1"/>
    <col min="7" max="7" width="13" style="15" bestFit="1" customWidth="1"/>
    <col min="8" max="8" width="22.66015625" style="15" bestFit="1" customWidth="1"/>
    <col min="9" max="9" width="14.83203125" style="15" customWidth="1"/>
    <col min="10" max="43" width="9.66015625" style="15" customWidth="1"/>
    <col min="44" max="16384" width="9.33203125" style="15" customWidth="1"/>
  </cols>
  <sheetData>
    <row r="1" ht="41.25" customHeight="1">
      <c r="B1" s="89" t="s">
        <v>27</v>
      </c>
    </row>
    <row r="2" spans="2:9" ht="41.25" customHeight="1" thickBot="1">
      <c r="B2" s="279" t="s">
        <v>40</v>
      </c>
      <c r="C2" s="279"/>
      <c r="D2" s="279"/>
      <c r="E2" s="279"/>
      <c r="F2" s="279"/>
      <c r="G2" s="149"/>
      <c r="H2" s="148"/>
      <c r="I2" s="148"/>
    </row>
    <row r="3" spans="2:9" ht="12.75" customHeight="1" thickBot="1">
      <c r="B3" s="60" t="s">
        <v>19</v>
      </c>
      <c r="C3" s="61"/>
      <c r="D3" s="61"/>
      <c r="E3" s="61"/>
      <c r="F3" s="61"/>
      <c r="G3" s="61"/>
      <c r="H3" s="61"/>
      <c r="I3" s="59"/>
    </row>
    <row r="4" spans="2:9" ht="44.25" customHeight="1" thickBot="1">
      <c r="B4" s="1"/>
      <c r="C4" s="101" t="s">
        <v>7</v>
      </c>
      <c r="D4" s="115" t="s">
        <v>73</v>
      </c>
      <c r="E4" s="116" t="s">
        <v>20</v>
      </c>
      <c r="F4" s="117" t="s">
        <v>21</v>
      </c>
      <c r="G4" s="280" t="s">
        <v>37</v>
      </c>
      <c r="H4" s="281"/>
      <c r="I4" s="282"/>
    </row>
    <row r="5" spans="2:13" ht="12.75">
      <c r="B5" s="2" t="s">
        <v>18</v>
      </c>
      <c r="C5" s="3"/>
      <c r="D5" s="158">
        <v>0.3</v>
      </c>
      <c r="E5" s="4"/>
      <c r="F5" s="4"/>
      <c r="G5" s="5"/>
      <c r="H5" s="6"/>
      <c r="I5" s="7"/>
      <c r="K5" s="11"/>
      <c r="L5" s="11"/>
      <c r="M5" s="11"/>
    </row>
    <row r="6" spans="2:13" ht="12.75">
      <c r="B6" s="113" t="s">
        <v>66</v>
      </c>
      <c r="C6" s="114">
        <v>30000</v>
      </c>
      <c r="D6" s="86">
        <f aca="true" t="shared" si="0" ref="D6:D11">C6*$D$5</f>
        <v>9000</v>
      </c>
      <c r="E6" s="86">
        <f aca="true" t="shared" si="1" ref="E6:E11">SUM(C6:D6)</f>
        <v>39000</v>
      </c>
      <c r="F6" s="86">
        <f aca="true" t="shared" si="2" ref="F6:F11">E6/12</f>
        <v>3250</v>
      </c>
      <c r="G6" s="278"/>
      <c r="H6" s="278"/>
      <c r="I6" s="278"/>
      <c r="K6" s="16"/>
      <c r="L6" s="11"/>
      <c r="M6" s="11"/>
    </row>
    <row r="7" spans="2:13" ht="12.75">
      <c r="B7" s="113" t="s">
        <v>67</v>
      </c>
      <c r="C7" s="114">
        <v>40000</v>
      </c>
      <c r="D7" s="86">
        <f t="shared" si="0"/>
        <v>12000</v>
      </c>
      <c r="E7" s="86">
        <f t="shared" si="1"/>
        <v>52000</v>
      </c>
      <c r="F7" s="86">
        <f t="shared" si="2"/>
        <v>4333.333333333333</v>
      </c>
      <c r="G7" s="283" t="s">
        <v>72</v>
      </c>
      <c r="H7" s="283"/>
      <c r="I7" s="283"/>
      <c r="K7" s="11"/>
      <c r="L7" s="17"/>
      <c r="M7" s="11"/>
    </row>
    <row r="8" spans="2:13" ht="12.75">
      <c r="B8" s="113" t="s">
        <v>68</v>
      </c>
      <c r="C8" s="114">
        <v>50000</v>
      </c>
      <c r="D8" s="86">
        <f t="shared" si="0"/>
        <v>15000</v>
      </c>
      <c r="E8" s="86">
        <f t="shared" si="1"/>
        <v>65000</v>
      </c>
      <c r="F8" s="86">
        <f t="shared" si="2"/>
        <v>5416.666666666667</v>
      </c>
      <c r="G8" s="278"/>
      <c r="H8" s="278"/>
      <c r="I8" s="278"/>
      <c r="K8" s="11"/>
      <c r="L8" s="18"/>
      <c r="M8" s="11"/>
    </row>
    <row r="9" spans="2:13" ht="12.75">
      <c r="B9" s="113" t="s">
        <v>69</v>
      </c>
      <c r="C9" s="114">
        <v>60000</v>
      </c>
      <c r="D9" s="86">
        <f t="shared" si="0"/>
        <v>18000</v>
      </c>
      <c r="E9" s="86">
        <f t="shared" si="1"/>
        <v>78000</v>
      </c>
      <c r="F9" s="86">
        <f t="shared" si="2"/>
        <v>6500</v>
      </c>
      <c r="G9" s="278"/>
      <c r="H9" s="278"/>
      <c r="I9" s="278"/>
      <c r="K9" s="11"/>
      <c r="L9" s="19"/>
      <c r="M9" s="11"/>
    </row>
    <row r="10" spans="2:13" ht="12.75">
      <c r="B10" s="113" t="s">
        <v>70</v>
      </c>
      <c r="C10" s="114">
        <v>70000</v>
      </c>
      <c r="D10" s="86">
        <f t="shared" si="0"/>
        <v>21000</v>
      </c>
      <c r="E10" s="86">
        <f t="shared" si="1"/>
        <v>91000</v>
      </c>
      <c r="F10" s="86">
        <f t="shared" si="2"/>
        <v>7583.333333333333</v>
      </c>
      <c r="G10" s="278"/>
      <c r="H10" s="278"/>
      <c r="I10" s="278"/>
      <c r="K10" s="11"/>
      <c r="L10" s="19"/>
      <c r="M10" s="11"/>
    </row>
    <row r="11" spans="2:13" ht="12.75">
      <c r="B11" s="113" t="s">
        <v>71</v>
      </c>
      <c r="C11" s="114">
        <v>80000</v>
      </c>
      <c r="D11" s="86">
        <f t="shared" si="0"/>
        <v>24000</v>
      </c>
      <c r="E11" s="86">
        <f t="shared" si="1"/>
        <v>104000</v>
      </c>
      <c r="F11" s="86">
        <f t="shared" si="2"/>
        <v>8666.666666666666</v>
      </c>
      <c r="G11" s="278"/>
      <c r="H11" s="278"/>
      <c r="I11" s="278"/>
      <c r="K11" s="11"/>
      <c r="L11" s="19"/>
      <c r="M11" s="11"/>
    </row>
    <row r="12" spans="2:13" ht="12.75" customHeight="1" thickBot="1">
      <c r="B12" s="22" t="s">
        <v>35</v>
      </c>
      <c r="C12" s="23"/>
      <c r="D12" s="24"/>
      <c r="E12" s="24"/>
      <c r="F12" s="25"/>
      <c r="G12" s="24"/>
      <c r="H12" s="24"/>
      <c r="I12" s="26"/>
      <c r="J12" s="11"/>
      <c r="K12" s="11"/>
      <c r="L12" s="11"/>
      <c r="M12" s="11"/>
    </row>
    <row r="13" spans="2:9" ht="12.75">
      <c r="B13" s="27"/>
      <c r="C13" s="28"/>
      <c r="D13" s="29" t="s">
        <v>36</v>
      </c>
      <c r="E13" s="30"/>
      <c r="F13" s="29" t="s">
        <v>34</v>
      </c>
      <c r="G13" s="30"/>
      <c r="H13" s="29" t="s">
        <v>17</v>
      </c>
      <c r="I13" s="31"/>
    </row>
    <row r="14" spans="2:9" ht="12.75">
      <c r="B14" s="5" t="s">
        <v>4</v>
      </c>
      <c r="C14" s="6"/>
      <c r="D14" s="97">
        <v>500</v>
      </c>
      <c r="E14" s="6"/>
      <c r="F14" s="98">
        <v>2.08</v>
      </c>
      <c r="G14" s="6"/>
      <c r="H14" s="99">
        <f>D14*F14</f>
        <v>1040</v>
      </c>
      <c r="I14" s="7"/>
    </row>
    <row r="15" spans="2:9" ht="12.75">
      <c r="B15" s="5" t="s">
        <v>13</v>
      </c>
      <c r="C15" s="6"/>
      <c r="D15" s="97">
        <v>400</v>
      </c>
      <c r="E15" s="6"/>
      <c r="F15" s="98">
        <v>2.08</v>
      </c>
      <c r="G15" s="6"/>
      <c r="H15" s="99">
        <f>D15*F15</f>
        <v>832</v>
      </c>
      <c r="I15" s="7"/>
    </row>
    <row r="16" spans="2:9" ht="13.5" thickBot="1">
      <c r="B16" s="1" t="s">
        <v>1</v>
      </c>
      <c r="C16" s="9"/>
      <c r="D16" s="97">
        <v>100</v>
      </c>
      <c r="E16" s="9"/>
      <c r="F16" s="98">
        <v>2.08</v>
      </c>
      <c r="G16" s="9"/>
      <c r="H16" s="99">
        <f>D16*F16</f>
        <v>208</v>
      </c>
      <c r="I16" s="10"/>
    </row>
    <row r="17" spans="2:13" ht="12.75" customHeight="1" thickBot="1">
      <c r="B17" s="22" t="s">
        <v>38</v>
      </c>
      <c r="C17" s="23"/>
      <c r="D17" s="24"/>
      <c r="E17" s="24"/>
      <c r="F17" s="24"/>
      <c r="G17" s="24"/>
      <c r="H17" s="24"/>
      <c r="I17" s="26"/>
      <c r="J17" s="11"/>
      <c r="K17" s="11"/>
      <c r="L17" s="11"/>
      <c r="M17" s="11"/>
    </row>
    <row r="18" spans="2:9" ht="12.75">
      <c r="B18" s="27"/>
      <c r="C18" s="28"/>
      <c r="D18" s="36"/>
      <c r="E18" s="28"/>
      <c r="F18" s="37"/>
      <c r="G18" s="28"/>
      <c r="H18" s="29" t="s">
        <v>17</v>
      </c>
      <c r="I18" s="31"/>
    </row>
    <row r="19" spans="2:9" ht="12.75">
      <c r="B19" s="38" t="s">
        <v>50</v>
      </c>
      <c r="C19" s="6"/>
      <c r="D19" s="32"/>
      <c r="E19" s="6"/>
      <c r="F19" s="33"/>
      <c r="G19" s="6"/>
      <c r="H19" s="125">
        <v>68000</v>
      </c>
      <c r="I19" s="7"/>
    </row>
    <row r="20" spans="2:9" ht="13.5" thickBot="1">
      <c r="B20" s="39" t="s">
        <v>22</v>
      </c>
      <c r="C20" s="9"/>
      <c r="D20" s="34"/>
      <c r="E20" s="9"/>
      <c r="F20" s="35"/>
      <c r="G20" s="9"/>
      <c r="H20" s="125">
        <v>12500</v>
      </c>
      <c r="I20" s="10"/>
    </row>
    <row r="21" spans="2:9" ht="12.75" customHeight="1" thickBot="1">
      <c r="B21" s="40" t="s">
        <v>26</v>
      </c>
      <c r="C21" s="24"/>
      <c r="D21" s="41"/>
      <c r="E21" s="24"/>
      <c r="F21" s="42"/>
      <c r="G21" s="24"/>
      <c r="H21" s="41"/>
      <c r="I21" s="26"/>
    </row>
    <row r="22" spans="2:11" ht="12.75">
      <c r="B22" s="27"/>
      <c r="C22" s="28"/>
      <c r="D22" s="121" t="s">
        <v>25</v>
      </c>
      <c r="E22" s="122" t="s">
        <v>24</v>
      </c>
      <c r="F22" s="123" t="s">
        <v>16</v>
      </c>
      <c r="G22" s="123" t="s">
        <v>15</v>
      </c>
      <c r="H22" s="122" t="s">
        <v>17</v>
      </c>
      <c r="I22" s="43"/>
      <c r="J22" s="11"/>
      <c r="K22" s="11"/>
    </row>
    <row r="23" spans="2:11" ht="12.75">
      <c r="B23" s="277" t="s">
        <v>121</v>
      </c>
      <c r="C23" s="277"/>
      <c r="D23" s="99">
        <v>2000</v>
      </c>
      <c r="E23" s="124">
        <v>5000</v>
      </c>
      <c r="F23" s="124">
        <v>3000</v>
      </c>
      <c r="G23" s="124">
        <v>1000</v>
      </c>
      <c r="H23" s="126">
        <f>SUM(D23:G23)</f>
        <v>11000</v>
      </c>
      <c r="I23" s="44"/>
      <c r="J23" s="11"/>
      <c r="K23" s="11"/>
    </row>
    <row r="24" spans="2:11" ht="12.75">
      <c r="B24" s="277"/>
      <c r="C24" s="277"/>
      <c r="D24" s="99">
        <f>E33</f>
        <v>0</v>
      </c>
      <c r="E24" s="124">
        <v>0</v>
      </c>
      <c r="F24" s="124">
        <v>0</v>
      </c>
      <c r="G24" s="124">
        <v>0</v>
      </c>
      <c r="H24" s="126">
        <f>SUM(D24:G24)</f>
        <v>0</v>
      </c>
      <c r="I24" s="44"/>
      <c r="J24" s="11"/>
      <c r="K24" s="11"/>
    </row>
    <row r="25" spans="2:11" ht="12.75">
      <c r="B25" s="277"/>
      <c r="C25" s="277"/>
      <c r="D25" s="99">
        <f>E33</f>
        <v>0</v>
      </c>
      <c r="E25" s="124">
        <v>0</v>
      </c>
      <c r="F25" s="124">
        <v>0</v>
      </c>
      <c r="G25" s="124">
        <v>0</v>
      </c>
      <c r="H25" s="126">
        <f>SUM(D25:G25)</f>
        <v>0</v>
      </c>
      <c r="I25" s="44"/>
      <c r="J25" s="11"/>
      <c r="K25" s="11"/>
    </row>
    <row r="26" spans="2:11" ht="13.5" thickBot="1">
      <c r="B26" s="277"/>
      <c r="C26" s="277"/>
      <c r="D26" s="99">
        <f>E33</f>
        <v>0</v>
      </c>
      <c r="E26" s="124">
        <v>0</v>
      </c>
      <c r="F26" s="124">
        <v>0</v>
      </c>
      <c r="G26" s="124">
        <v>0</v>
      </c>
      <c r="H26" s="126">
        <f>SUM(D26:G26)</f>
        <v>0</v>
      </c>
      <c r="I26" s="44"/>
      <c r="J26" s="11"/>
      <c r="K26" s="11"/>
    </row>
    <row r="27" spans="2:9" ht="12.75" customHeight="1" thickBot="1">
      <c r="B27" s="132" t="s">
        <v>123</v>
      </c>
      <c r="C27" s="119"/>
      <c r="D27" s="118"/>
      <c r="E27" s="119"/>
      <c r="F27" s="120"/>
      <c r="G27" s="119"/>
      <c r="H27" s="119"/>
      <c r="I27" s="47"/>
    </row>
    <row r="28" spans="2:9" ht="12.75">
      <c r="B28" s="38"/>
      <c r="C28" s="6"/>
      <c r="D28" s="58" t="s">
        <v>5</v>
      </c>
      <c r="E28" s="13"/>
      <c r="F28" s="32"/>
      <c r="G28" s="13"/>
      <c r="H28" s="32"/>
      <c r="I28" s="7"/>
    </row>
    <row r="29" spans="2:9" ht="12.75">
      <c r="B29" s="38" t="s">
        <v>122</v>
      </c>
      <c r="C29" s="6"/>
      <c r="D29" s="124">
        <f>14600/12</f>
        <v>1216.6666666666667</v>
      </c>
      <c r="E29" s="13"/>
      <c r="G29" s="13"/>
      <c r="H29" s="32"/>
      <c r="I29" s="7"/>
    </row>
    <row r="30" spans="2:9" ht="12.75">
      <c r="B30" s="38" t="s">
        <v>31</v>
      </c>
      <c r="C30" s="6"/>
      <c r="D30" s="124">
        <f>105120/12</f>
        <v>8760</v>
      </c>
      <c r="E30" s="13"/>
      <c r="F30" s="32"/>
      <c r="G30" s="13"/>
      <c r="H30" s="32"/>
      <c r="I30" s="7"/>
    </row>
    <row r="31" spans="2:9" ht="12.75">
      <c r="B31" s="38" t="s">
        <v>32</v>
      </c>
      <c r="C31" s="6"/>
      <c r="D31" s="124">
        <f>50400/12</f>
        <v>4200</v>
      </c>
      <c r="E31" s="13"/>
      <c r="F31" s="32"/>
      <c r="G31" s="13"/>
      <c r="H31" s="32"/>
      <c r="I31" s="7"/>
    </row>
    <row r="32" spans="1:9" s="11" customFormat="1" ht="12.75">
      <c r="A32" s="12"/>
      <c r="B32" s="38" t="s">
        <v>33</v>
      </c>
      <c r="C32" s="6"/>
      <c r="D32" s="135">
        <f>24698/12</f>
        <v>2058.1666666666665</v>
      </c>
      <c r="E32" s="13"/>
      <c r="F32" s="8"/>
      <c r="G32" s="48"/>
      <c r="H32" s="48"/>
      <c r="I32" s="7"/>
    </row>
    <row r="33" spans="1:9" ht="13.5" thickBot="1">
      <c r="A33" s="12"/>
      <c r="B33" s="38"/>
      <c r="C33" s="6"/>
      <c r="D33" s="133">
        <f>SUM(D29:D32)</f>
        <v>16234.833333333332</v>
      </c>
      <c r="E33" s="227"/>
      <c r="F33" s="8"/>
      <c r="G33" s="48"/>
      <c r="H33" s="32"/>
      <c r="I33" s="49"/>
    </row>
    <row r="34" spans="2:9" ht="13.5" thickBot="1">
      <c r="B34" s="50" t="s">
        <v>76</v>
      </c>
      <c r="C34" s="45"/>
      <c r="D34" s="118"/>
      <c r="E34" s="46"/>
      <c r="F34" s="46"/>
      <c r="G34" s="51"/>
      <c r="H34" s="46"/>
      <c r="I34" s="47"/>
    </row>
    <row r="35" spans="2:10" ht="45" customHeight="1">
      <c r="B35" s="27"/>
      <c r="C35" s="28"/>
      <c r="D35" s="127" t="s">
        <v>8</v>
      </c>
      <c r="E35" s="127" t="s">
        <v>9</v>
      </c>
      <c r="F35" s="127" t="s">
        <v>10</v>
      </c>
      <c r="G35" s="127" t="s">
        <v>11</v>
      </c>
      <c r="H35" s="127" t="s">
        <v>6</v>
      </c>
      <c r="I35" s="128" t="s">
        <v>39</v>
      </c>
      <c r="J35" s="11"/>
    </row>
    <row r="36" spans="2:10" ht="12.75">
      <c r="B36" s="275" t="s">
        <v>4</v>
      </c>
      <c r="C36" s="276"/>
      <c r="D36" s="126">
        <v>15000</v>
      </c>
      <c r="E36" s="126">
        <f>H14</f>
        <v>1040</v>
      </c>
      <c r="F36" s="126">
        <f>$H$23</f>
        <v>11000</v>
      </c>
      <c r="G36" s="126">
        <f>SUM(D36:F36)</f>
        <v>27040</v>
      </c>
      <c r="H36" s="136">
        <v>1</v>
      </c>
      <c r="I36" s="126">
        <f>G36*H36</f>
        <v>27040</v>
      </c>
      <c r="J36" s="11"/>
    </row>
    <row r="37" spans="2:10" ht="12.75">
      <c r="B37" s="5" t="s">
        <v>14</v>
      </c>
      <c r="C37" s="6"/>
      <c r="D37" s="126">
        <v>10000</v>
      </c>
      <c r="E37" s="126">
        <f>H15</f>
        <v>832</v>
      </c>
      <c r="F37" s="126">
        <f>H24</f>
        <v>0</v>
      </c>
      <c r="G37" s="126">
        <f>SUM(D37:F37)</f>
        <v>10832</v>
      </c>
      <c r="H37" s="136">
        <v>3</v>
      </c>
      <c r="I37" s="126">
        <f>G37*H37</f>
        <v>32496</v>
      </c>
      <c r="J37" s="11"/>
    </row>
    <row r="38" spans="2:10" ht="12.75">
      <c r="B38" s="5" t="s">
        <v>0</v>
      </c>
      <c r="C38" s="6"/>
      <c r="D38" s="126">
        <v>8000</v>
      </c>
      <c r="E38" s="126">
        <f>H16</f>
        <v>208</v>
      </c>
      <c r="F38" s="126">
        <f>$H$25</f>
        <v>0</v>
      </c>
      <c r="G38" s="126">
        <f>SUM(D38:F38)</f>
        <v>8208</v>
      </c>
      <c r="H38" s="136">
        <v>8</v>
      </c>
      <c r="I38" s="126">
        <f>G38*H38</f>
        <v>65664</v>
      </c>
      <c r="J38" s="11"/>
    </row>
    <row r="39" spans="2:10" ht="12.75">
      <c r="B39" s="5" t="s">
        <v>3</v>
      </c>
      <c r="C39" s="6"/>
      <c r="D39" s="133">
        <f aca="true" t="shared" si="3" ref="D39:I39">SUM(D36:D38)</f>
        <v>33000</v>
      </c>
      <c r="E39" s="133">
        <f t="shared" si="3"/>
        <v>2080</v>
      </c>
      <c r="F39" s="133">
        <f t="shared" si="3"/>
        <v>11000</v>
      </c>
      <c r="G39" s="133">
        <f t="shared" si="3"/>
        <v>46080</v>
      </c>
      <c r="H39" s="139">
        <f t="shared" si="3"/>
        <v>12</v>
      </c>
      <c r="I39" s="133">
        <f t="shared" si="3"/>
        <v>125200</v>
      </c>
      <c r="J39" s="11"/>
    </row>
    <row r="40" spans="2:10" ht="15" customHeight="1">
      <c r="B40" s="52" t="s">
        <v>124</v>
      </c>
      <c r="C40" s="6"/>
      <c r="D40" s="53"/>
      <c r="E40" s="53"/>
      <c r="F40" s="13"/>
      <c r="G40" s="54"/>
      <c r="H40" s="129">
        <v>60</v>
      </c>
      <c r="I40" s="55"/>
      <c r="J40" s="11"/>
    </row>
    <row r="41" spans="2:10" ht="15" customHeight="1" thickBot="1">
      <c r="B41" s="160" t="s">
        <v>75</v>
      </c>
      <c r="C41" s="131"/>
      <c r="D41" s="131"/>
      <c r="E41" s="9"/>
      <c r="F41" s="14"/>
      <c r="G41" s="14"/>
      <c r="H41" s="14"/>
      <c r="I41" s="130">
        <f>I39/H40</f>
        <v>2086.6666666666665</v>
      </c>
      <c r="J41" s="11"/>
    </row>
    <row r="42" spans="2:9" ht="14.25" customHeight="1">
      <c r="B42" s="6"/>
      <c r="C42" s="56"/>
      <c r="D42" s="56"/>
      <c r="E42" s="56"/>
      <c r="F42" s="56"/>
      <c r="G42" s="56"/>
      <c r="H42" s="56"/>
      <c r="I42" s="56"/>
    </row>
    <row r="43" spans="2:9" ht="12.75">
      <c r="B43" s="56"/>
      <c r="C43" s="57"/>
      <c r="D43" s="56"/>
      <c r="E43" s="56"/>
      <c r="F43" s="56"/>
      <c r="G43" s="56"/>
      <c r="H43" s="56"/>
      <c r="I43" s="56"/>
    </row>
    <row r="44" spans="3:7" ht="11.25">
      <c r="C44" s="20"/>
      <c r="G44" s="21"/>
    </row>
  </sheetData>
  <sheetProtection/>
  <mergeCells count="13">
    <mergeCell ref="B2:F2"/>
    <mergeCell ref="G4:I4"/>
    <mergeCell ref="G6:I6"/>
    <mergeCell ref="G7:I7"/>
    <mergeCell ref="B36:C36"/>
    <mergeCell ref="B23:C23"/>
    <mergeCell ref="B24:C24"/>
    <mergeCell ref="B25:C25"/>
    <mergeCell ref="B26:C26"/>
    <mergeCell ref="G8:I8"/>
    <mergeCell ref="G9:I9"/>
    <mergeCell ref="G10:I10"/>
    <mergeCell ref="G11:I11"/>
  </mergeCells>
  <printOptions horizontalCentered="1"/>
  <pageMargins left="0.49" right="0.25" top="0.31" bottom="0.51" header="0.18" footer="0.33"/>
  <pageSetup fitToHeight="1" fitToWidth="1" horizontalDpi="300" verticalDpi="300" orientation="landscape" scale="77" r:id="rId2"/>
  <headerFooter alignWithMargins="0">
    <oddFooter>&amp;C&amp;"Arial,Regular"&amp;9© 2010 Orient Point Consulting LLC, All rights reserved
http://orientpoint.com   (888) 444-2210</oddFooter>
  </headerFooter>
  <drawing r:id="rId1"/>
</worksheet>
</file>

<file path=xl/worksheets/sheet4.xml><?xml version="1.0" encoding="utf-8"?>
<worksheet xmlns="http://schemas.openxmlformats.org/spreadsheetml/2006/main" xmlns:r="http://schemas.openxmlformats.org/officeDocument/2006/relationships">
  <sheetPr transitionEvaluation="1">
    <tabColor indexed="42"/>
  </sheetPr>
  <dimension ref="A1:Q67"/>
  <sheetViews>
    <sheetView showZeros="0" zoomScaleSheetLayoutView="100" zoomScalePageLayoutView="0" workbookViewId="0" topLeftCell="A1">
      <selection activeCell="J4" sqref="J4"/>
    </sheetView>
  </sheetViews>
  <sheetFormatPr defaultColWidth="9.66015625" defaultRowHeight="12.75"/>
  <cols>
    <col min="1" max="1" width="4" style="65" customWidth="1"/>
    <col min="2" max="2" width="52.66015625" style="62" customWidth="1"/>
    <col min="3" max="3" width="12.83203125" style="63" customWidth="1"/>
    <col min="4" max="4" width="15.5" style="64" customWidth="1"/>
    <col min="5" max="5" width="12.83203125" style="63" customWidth="1"/>
    <col min="6" max="6" width="12.83203125" style="217" customWidth="1"/>
    <col min="7" max="7" width="12.83203125" style="222" customWidth="1"/>
    <col min="8" max="8" width="12.83203125" style="65" customWidth="1"/>
    <col min="9" max="9" width="14" style="65" customWidth="1"/>
    <col min="10" max="11" width="12.83203125" style="65" customWidth="1"/>
    <col min="12" max="12" width="20.66015625" style="65" customWidth="1"/>
    <col min="13" max="13" width="13.5" style="65" customWidth="1"/>
    <col min="14" max="14" width="12.16015625" style="65" hidden="1" customWidth="1"/>
    <col min="15" max="15" width="12.66015625" style="65" hidden="1" customWidth="1"/>
    <col min="16" max="16384" width="9.66015625" style="65" customWidth="1"/>
  </cols>
  <sheetData>
    <row r="1" spans="1:8" ht="17.25" customHeight="1">
      <c r="A1" s="140"/>
      <c r="H1" s="82"/>
    </row>
    <row r="2" spans="2:17" ht="86.25" customHeight="1">
      <c r="B2" s="284" t="s">
        <v>131</v>
      </c>
      <c r="C2" s="284"/>
      <c r="D2" s="284"/>
      <c r="E2" s="284"/>
      <c r="F2" s="284"/>
      <c r="G2" s="284"/>
      <c r="H2" s="62"/>
      <c r="I2" s="62"/>
      <c r="J2" s="62"/>
      <c r="K2" s="62"/>
      <c r="L2" s="62"/>
      <c r="M2" s="62"/>
      <c r="N2" s="62"/>
      <c r="O2" s="62"/>
      <c r="P2" s="62"/>
      <c r="Q2" s="62"/>
    </row>
    <row r="3" spans="2:17" ht="20.25" customHeight="1">
      <c r="B3" s="228"/>
      <c r="C3" s="229" t="s">
        <v>116</v>
      </c>
      <c r="D3" s="230">
        <v>154</v>
      </c>
      <c r="E3" s="289" t="s">
        <v>132</v>
      </c>
      <c r="F3" s="289"/>
      <c r="G3" s="289"/>
      <c r="H3" s="231"/>
      <c r="I3" s="232"/>
      <c r="J3" s="62"/>
      <c r="K3" s="62"/>
      <c r="L3" s="62"/>
      <c r="M3" s="62"/>
      <c r="N3" s="62"/>
      <c r="O3" s="62"/>
      <c r="P3" s="62"/>
      <c r="Q3" s="62"/>
    </row>
    <row r="4" spans="2:17" ht="36.75" customHeight="1">
      <c r="B4" s="176"/>
      <c r="C4" s="285" t="s">
        <v>48</v>
      </c>
      <c r="D4" s="286" t="s">
        <v>47</v>
      </c>
      <c r="E4" s="287" t="s">
        <v>29</v>
      </c>
      <c r="F4" s="288" t="s">
        <v>46</v>
      </c>
      <c r="G4" s="285" t="s">
        <v>45</v>
      </c>
      <c r="H4" s="62"/>
      <c r="I4" s="62"/>
      <c r="J4" s="62"/>
      <c r="K4" s="62"/>
      <c r="L4" s="62"/>
      <c r="M4" s="62"/>
      <c r="N4" s="62"/>
      <c r="O4" s="62"/>
      <c r="P4" s="62"/>
      <c r="Q4" s="62"/>
    </row>
    <row r="5" spans="2:7" ht="26.25" customHeight="1">
      <c r="B5" s="143"/>
      <c r="C5" s="285"/>
      <c r="D5" s="286"/>
      <c r="E5" s="287"/>
      <c r="F5" s="288"/>
      <c r="G5" s="285"/>
    </row>
    <row r="6" spans="2:7" ht="13.5" customHeight="1">
      <c r="B6" s="143" t="s">
        <v>49</v>
      </c>
      <c r="C6" s="178"/>
      <c r="D6" s="179"/>
      <c r="E6" s="177"/>
      <c r="F6" s="233"/>
      <c r="G6" s="223"/>
    </row>
    <row r="7" spans="2:10" ht="13.5" customHeight="1">
      <c r="B7" s="83" t="s">
        <v>28</v>
      </c>
      <c r="C7" s="91">
        <f>SUM(C9:C62)</f>
        <v>21220.8</v>
      </c>
      <c r="D7" s="92"/>
      <c r="E7" s="92"/>
      <c r="F7" s="234">
        <f>SUM(F8,F19,F30,F41,F52)</f>
        <v>3536.8</v>
      </c>
      <c r="G7" s="224">
        <f>SUM(G8,G19,G30,G41,G52)</f>
        <v>22.966233766233763</v>
      </c>
      <c r="H7" s="62"/>
      <c r="I7" s="62"/>
      <c r="J7" s="62"/>
    </row>
    <row r="8" spans="2:7" ht="19.5" customHeight="1">
      <c r="B8" s="159" t="s">
        <v>51</v>
      </c>
      <c r="C8" s="66"/>
      <c r="D8" s="67"/>
      <c r="E8" s="66"/>
      <c r="F8" s="235">
        <f>SUM(F9:F18)</f>
        <v>520.9666666666667</v>
      </c>
      <c r="G8" s="237">
        <f>SUM(G9:G18)</f>
        <v>3.382900432900433</v>
      </c>
    </row>
    <row r="9" spans="1:14" s="71" customFormat="1" ht="11.25">
      <c r="A9" s="63"/>
      <c r="B9" s="110" t="s">
        <v>56</v>
      </c>
      <c r="C9" s="102">
        <v>1100</v>
      </c>
      <c r="D9" s="103">
        <v>10</v>
      </c>
      <c r="E9" s="144">
        <f aca="true" t="shared" si="0" ref="E9:E18">60/D9</f>
        <v>6</v>
      </c>
      <c r="F9" s="236">
        <f aca="true" t="shared" si="1" ref="F9:F18">(C9*D9)/60</f>
        <v>183.33333333333334</v>
      </c>
      <c r="G9" s="226">
        <f aca="true" t="shared" si="2" ref="G9:G18">F9/$D$3</f>
        <v>1.1904761904761905</v>
      </c>
      <c r="H9" s="64"/>
      <c r="I9" s="70"/>
      <c r="J9" s="63"/>
      <c r="K9" s="63"/>
      <c r="L9" s="63"/>
      <c r="M9" s="63"/>
      <c r="N9" s="63"/>
    </row>
    <row r="10" spans="1:14" s="71" customFormat="1" ht="11.25">
      <c r="A10" s="141"/>
      <c r="B10" s="110" t="s">
        <v>57</v>
      </c>
      <c r="C10" s="102">
        <f>C9*15%</f>
        <v>165</v>
      </c>
      <c r="D10" s="103">
        <v>10</v>
      </c>
      <c r="E10" s="144">
        <f t="shared" si="0"/>
        <v>6</v>
      </c>
      <c r="F10" s="236">
        <f t="shared" si="1"/>
        <v>27.5</v>
      </c>
      <c r="G10" s="226">
        <f t="shared" si="2"/>
        <v>0.17857142857142858</v>
      </c>
      <c r="H10" s="64"/>
      <c r="I10" s="70"/>
      <c r="J10" s="63"/>
      <c r="K10" s="63"/>
      <c r="L10" s="63"/>
      <c r="M10" s="63"/>
      <c r="N10" s="63"/>
    </row>
    <row r="11" spans="1:14" s="71" customFormat="1" ht="11.25">
      <c r="A11" s="63"/>
      <c r="B11" s="110" t="s">
        <v>58</v>
      </c>
      <c r="C11" s="102">
        <f>C9*10%</f>
        <v>110</v>
      </c>
      <c r="D11" s="103">
        <v>10</v>
      </c>
      <c r="E11" s="144">
        <f t="shared" si="0"/>
        <v>6</v>
      </c>
      <c r="F11" s="236">
        <f t="shared" si="1"/>
        <v>18.333333333333332</v>
      </c>
      <c r="G11" s="226">
        <f t="shared" si="2"/>
        <v>0.11904761904761904</v>
      </c>
      <c r="H11" s="64"/>
      <c r="I11" s="70"/>
      <c r="J11" s="63"/>
      <c r="K11" s="63"/>
      <c r="L11" s="63"/>
      <c r="M11" s="63"/>
      <c r="N11" s="63"/>
    </row>
    <row r="12" spans="1:14" s="71" customFormat="1" ht="11.25">
      <c r="A12" s="63"/>
      <c r="B12" s="110" t="s">
        <v>59</v>
      </c>
      <c r="C12" s="102">
        <v>409</v>
      </c>
      <c r="D12" s="103">
        <v>10</v>
      </c>
      <c r="E12" s="144">
        <f t="shared" si="0"/>
        <v>6</v>
      </c>
      <c r="F12" s="236">
        <f t="shared" si="1"/>
        <v>68.16666666666667</v>
      </c>
      <c r="G12" s="226">
        <f t="shared" si="2"/>
        <v>0.44264069264069267</v>
      </c>
      <c r="H12" s="64"/>
      <c r="I12" s="70"/>
      <c r="J12" s="63"/>
      <c r="K12" s="63"/>
      <c r="L12" s="63"/>
      <c r="M12" s="63"/>
      <c r="N12" s="63"/>
    </row>
    <row r="13" spans="1:14" s="71" customFormat="1" ht="11.25">
      <c r="A13" s="63"/>
      <c r="B13" s="110" t="s">
        <v>60</v>
      </c>
      <c r="C13" s="102">
        <f>C12</f>
        <v>409</v>
      </c>
      <c r="D13" s="103">
        <v>10</v>
      </c>
      <c r="E13" s="144">
        <f t="shared" si="0"/>
        <v>6</v>
      </c>
      <c r="F13" s="236">
        <f t="shared" si="1"/>
        <v>68.16666666666667</v>
      </c>
      <c r="G13" s="226">
        <f t="shared" si="2"/>
        <v>0.44264069264069267</v>
      </c>
      <c r="H13" s="64"/>
      <c r="I13" s="70"/>
      <c r="J13" s="63"/>
      <c r="K13" s="63"/>
      <c r="L13" s="63"/>
      <c r="M13" s="63"/>
      <c r="N13" s="63"/>
    </row>
    <row r="14" spans="1:14" s="62" customFormat="1" ht="11.25">
      <c r="A14" s="65"/>
      <c r="B14" s="112" t="s">
        <v>61</v>
      </c>
      <c r="C14" s="102">
        <f>C15*50%</f>
        <v>193.5</v>
      </c>
      <c r="D14" s="103">
        <v>10</v>
      </c>
      <c r="E14" s="144">
        <f t="shared" si="0"/>
        <v>6</v>
      </c>
      <c r="F14" s="236">
        <f t="shared" si="1"/>
        <v>32.25</v>
      </c>
      <c r="G14" s="226">
        <f t="shared" si="2"/>
        <v>0.20941558441558442</v>
      </c>
      <c r="H14" s="64"/>
      <c r="I14" s="72"/>
      <c r="J14" s="65"/>
      <c r="K14" s="65"/>
      <c r="L14" s="65"/>
      <c r="M14" s="65"/>
      <c r="N14" s="65"/>
    </row>
    <row r="15" spans="1:14" s="62" customFormat="1" ht="12.75" customHeight="1">
      <c r="A15" s="65"/>
      <c r="B15" s="112" t="s">
        <v>62</v>
      </c>
      <c r="C15" s="102">
        <v>387</v>
      </c>
      <c r="D15" s="103">
        <v>10</v>
      </c>
      <c r="E15" s="144">
        <f t="shared" si="0"/>
        <v>6</v>
      </c>
      <c r="F15" s="236">
        <f t="shared" si="1"/>
        <v>64.5</v>
      </c>
      <c r="G15" s="226">
        <f t="shared" si="2"/>
        <v>0.41883116883116883</v>
      </c>
      <c r="H15" s="64"/>
      <c r="I15" s="72"/>
      <c r="J15" s="65"/>
      <c r="K15" s="65"/>
      <c r="L15" s="65"/>
      <c r="M15" s="65"/>
      <c r="N15" s="65"/>
    </row>
    <row r="16" spans="1:14" s="71" customFormat="1" ht="12.75" customHeight="1">
      <c r="A16" s="63"/>
      <c r="B16" s="110" t="s">
        <v>63</v>
      </c>
      <c r="C16" s="102">
        <v>276</v>
      </c>
      <c r="D16" s="103">
        <v>10</v>
      </c>
      <c r="E16" s="144">
        <f t="shared" si="0"/>
        <v>6</v>
      </c>
      <c r="F16" s="236">
        <f t="shared" si="1"/>
        <v>46</v>
      </c>
      <c r="G16" s="226">
        <f t="shared" si="2"/>
        <v>0.2987012987012987</v>
      </c>
      <c r="H16" s="64"/>
      <c r="I16" s="70"/>
      <c r="J16" s="63"/>
      <c r="K16" s="63"/>
      <c r="L16" s="63"/>
      <c r="M16" s="63"/>
      <c r="N16" s="63"/>
    </row>
    <row r="17" spans="1:14" s="62" customFormat="1" ht="12.75" customHeight="1">
      <c r="A17" s="65"/>
      <c r="B17" s="112" t="s">
        <v>64</v>
      </c>
      <c r="C17" s="102">
        <v>10</v>
      </c>
      <c r="D17" s="103">
        <v>10</v>
      </c>
      <c r="E17" s="144">
        <f t="shared" si="0"/>
        <v>6</v>
      </c>
      <c r="F17" s="236">
        <f t="shared" si="1"/>
        <v>1.6666666666666667</v>
      </c>
      <c r="G17" s="226">
        <f t="shared" si="2"/>
        <v>0.010822510822510824</v>
      </c>
      <c r="H17" s="64"/>
      <c r="I17" s="72"/>
      <c r="J17" s="65"/>
      <c r="K17" s="65"/>
      <c r="L17" s="65"/>
      <c r="M17" s="65"/>
      <c r="N17" s="65"/>
    </row>
    <row r="18" spans="1:14" s="62" customFormat="1" ht="12.75" customHeight="1">
      <c r="A18" s="65"/>
      <c r="B18" s="112" t="s">
        <v>65</v>
      </c>
      <c r="C18" s="102">
        <f>(C15+C16)*10%</f>
        <v>66.3</v>
      </c>
      <c r="D18" s="103">
        <v>10</v>
      </c>
      <c r="E18" s="144">
        <f t="shared" si="0"/>
        <v>6</v>
      </c>
      <c r="F18" s="236">
        <f t="shared" si="1"/>
        <v>11.05</v>
      </c>
      <c r="G18" s="226">
        <f t="shared" si="2"/>
        <v>0.07175324675324676</v>
      </c>
      <c r="H18" s="64"/>
      <c r="I18" s="72"/>
      <c r="J18" s="65"/>
      <c r="K18" s="65"/>
      <c r="L18" s="65"/>
      <c r="M18" s="65"/>
      <c r="N18" s="65"/>
    </row>
    <row r="19" spans="2:9" ht="19.5" customHeight="1">
      <c r="B19" s="159" t="s">
        <v>52</v>
      </c>
      <c r="C19" s="107"/>
      <c r="D19" s="105"/>
      <c r="E19" s="146"/>
      <c r="F19" s="235">
        <f>SUM(F20:F29)</f>
        <v>81.8333333333333</v>
      </c>
      <c r="G19" s="237">
        <f>SUM(G20:G29)</f>
        <v>0.5313852813852814</v>
      </c>
      <c r="I19" s="72"/>
    </row>
    <row r="20" spans="1:14" s="62" customFormat="1" ht="11.25">
      <c r="A20" s="65"/>
      <c r="B20" s="110" t="s">
        <v>56</v>
      </c>
      <c r="C20" s="106">
        <v>1</v>
      </c>
      <c r="D20" s="103">
        <v>10</v>
      </c>
      <c r="E20" s="144">
        <f aca="true" t="shared" si="3" ref="E20:E29">60/D20</f>
        <v>6</v>
      </c>
      <c r="F20" s="236">
        <f aca="true" t="shared" si="4" ref="F20:F29">(C20*D20)/60</f>
        <v>0.16666666666666666</v>
      </c>
      <c r="G20" s="226">
        <f aca="true" t="shared" si="5" ref="G20:G29">F20/$D$3</f>
        <v>0.0010822510822510823</v>
      </c>
      <c r="H20" s="65"/>
      <c r="I20" s="64"/>
      <c r="J20" s="65"/>
      <c r="K20" s="65"/>
      <c r="L20" s="65"/>
      <c r="M20" s="65"/>
      <c r="N20" s="65"/>
    </row>
    <row r="21" spans="1:14" s="62" customFormat="1" ht="11.25">
      <c r="A21" s="65"/>
      <c r="B21" s="110" t="s">
        <v>57</v>
      </c>
      <c r="C21" s="106">
        <f>20</f>
        <v>20</v>
      </c>
      <c r="D21" s="103">
        <v>10</v>
      </c>
      <c r="E21" s="144">
        <f t="shared" si="3"/>
        <v>6</v>
      </c>
      <c r="F21" s="236">
        <f t="shared" si="4"/>
        <v>3.3333333333333335</v>
      </c>
      <c r="G21" s="226">
        <f t="shared" si="5"/>
        <v>0.021645021645021648</v>
      </c>
      <c r="H21" s="65"/>
      <c r="I21" s="64"/>
      <c r="J21" s="65"/>
      <c r="K21" s="65"/>
      <c r="L21" s="65"/>
      <c r="M21" s="65"/>
      <c r="N21" s="65"/>
    </row>
    <row r="22" spans="1:14" s="62" customFormat="1" ht="11.25">
      <c r="A22" s="142"/>
      <c r="B22" s="110" t="s">
        <v>58</v>
      </c>
      <c r="C22" s="102">
        <f>C21*3</f>
        <v>60</v>
      </c>
      <c r="D22" s="103">
        <v>10</v>
      </c>
      <c r="E22" s="144">
        <f t="shared" si="3"/>
        <v>6</v>
      </c>
      <c r="F22" s="236">
        <f t="shared" si="4"/>
        <v>10</v>
      </c>
      <c r="G22" s="226">
        <f t="shared" si="5"/>
        <v>0.06493506493506493</v>
      </c>
      <c r="H22" s="65"/>
      <c r="I22" s="64"/>
      <c r="J22" s="65"/>
      <c r="K22" s="65"/>
      <c r="L22" s="65"/>
      <c r="M22" s="65"/>
      <c r="N22" s="65"/>
    </row>
    <row r="23" spans="1:14" s="62" customFormat="1" ht="11.25">
      <c r="A23" s="65"/>
      <c r="B23" s="110" t="s">
        <v>59</v>
      </c>
      <c r="C23" s="102">
        <f>C22</f>
        <v>60</v>
      </c>
      <c r="D23" s="103">
        <v>10</v>
      </c>
      <c r="E23" s="144">
        <f t="shared" si="3"/>
        <v>6</v>
      </c>
      <c r="F23" s="236">
        <f t="shared" si="4"/>
        <v>10</v>
      </c>
      <c r="G23" s="226">
        <f t="shared" si="5"/>
        <v>0.06493506493506493</v>
      </c>
      <c r="H23" s="65"/>
      <c r="I23" s="64"/>
      <c r="J23" s="65"/>
      <c r="K23" s="65"/>
      <c r="L23" s="65"/>
      <c r="M23" s="65"/>
      <c r="N23" s="65"/>
    </row>
    <row r="24" spans="1:14" s="62" customFormat="1" ht="11.25">
      <c r="A24" s="65"/>
      <c r="B24" s="110" t="s">
        <v>60</v>
      </c>
      <c r="C24" s="102">
        <v>250</v>
      </c>
      <c r="D24" s="103">
        <v>10</v>
      </c>
      <c r="E24" s="144">
        <f t="shared" si="3"/>
        <v>6</v>
      </c>
      <c r="F24" s="236">
        <f t="shared" si="4"/>
        <v>41.666666666666664</v>
      </c>
      <c r="G24" s="226">
        <f t="shared" si="5"/>
        <v>0.27056277056277056</v>
      </c>
      <c r="H24" s="65"/>
      <c r="I24" s="64"/>
      <c r="J24" s="65"/>
      <c r="K24" s="65"/>
      <c r="L24" s="65"/>
      <c r="M24" s="65"/>
      <c r="N24" s="65"/>
    </row>
    <row r="25" spans="1:14" s="62" customFormat="1" ht="11.25">
      <c r="A25" s="65"/>
      <c r="B25" s="112" t="s">
        <v>61</v>
      </c>
      <c r="C25" s="102">
        <f>C21</f>
        <v>20</v>
      </c>
      <c r="D25" s="103">
        <v>10</v>
      </c>
      <c r="E25" s="144">
        <f t="shared" si="3"/>
        <v>6</v>
      </c>
      <c r="F25" s="236">
        <f t="shared" si="4"/>
        <v>3.3333333333333335</v>
      </c>
      <c r="G25" s="226">
        <f t="shared" si="5"/>
        <v>0.021645021645021648</v>
      </c>
      <c r="H25" s="65"/>
      <c r="I25" s="64"/>
      <c r="J25" s="65"/>
      <c r="K25" s="65"/>
      <c r="L25" s="65"/>
      <c r="M25" s="65"/>
      <c r="N25" s="65"/>
    </row>
    <row r="26" spans="1:14" s="62" customFormat="1" ht="11.25">
      <c r="A26" s="65"/>
      <c r="B26" s="112" t="s">
        <v>62</v>
      </c>
      <c r="C26" s="102">
        <f>C21</f>
        <v>20</v>
      </c>
      <c r="D26" s="103">
        <v>10</v>
      </c>
      <c r="E26" s="144">
        <f t="shared" si="3"/>
        <v>6</v>
      </c>
      <c r="F26" s="236">
        <f t="shared" si="4"/>
        <v>3.3333333333333335</v>
      </c>
      <c r="G26" s="226">
        <f t="shared" si="5"/>
        <v>0.021645021645021648</v>
      </c>
      <c r="H26" s="65"/>
      <c r="I26" s="64"/>
      <c r="J26" s="65"/>
      <c r="K26" s="65"/>
      <c r="L26" s="65"/>
      <c r="M26" s="65"/>
      <c r="N26" s="65"/>
    </row>
    <row r="27" spans="1:14" s="62" customFormat="1" ht="11.25">
      <c r="A27" s="65"/>
      <c r="B27" s="110" t="s">
        <v>63</v>
      </c>
      <c r="C27" s="102">
        <f>C21</f>
        <v>20</v>
      </c>
      <c r="D27" s="103">
        <v>10</v>
      </c>
      <c r="E27" s="144">
        <f t="shared" si="3"/>
        <v>6</v>
      </c>
      <c r="F27" s="236">
        <f t="shared" si="4"/>
        <v>3.3333333333333335</v>
      </c>
      <c r="G27" s="226">
        <f t="shared" si="5"/>
        <v>0.021645021645021648</v>
      </c>
      <c r="H27" s="65"/>
      <c r="I27" s="64"/>
      <c r="J27" s="65"/>
      <c r="K27" s="65"/>
      <c r="L27" s="65"/>
      <c r="M27" s="65"/>
      <c r="N27" s="65"/>
    </row>
    <row r="28" spans="1:14" s="71" customFormat="1" ht="11.25">
      <c r="A28" s="63"/>
      <c r="B28" s="112" t="s">
        <v>64</v>
      </c>
      <c r="C28" s="102">
        <v>20</v>
      </c>
      <c r="D28" s="103">
        <v>10</v>
      </c>
      <c r="E28" s="144">
        <f t="shared" si="3"/>
        <v>6</v>
      </c>
      <c r="F28" s="236">
        <f t="shared" si="4"/>
        <v>3.3333333333333335</v>
      </c>
      <c r="G28" s="226">
        <f t="shared" si="5"/>
        <v>0.021645021645021648</v>
      </c>
      <c r="H28" s="63"/>
      <c r="I28" s="64"/>
      <c r="J28" s="63"/>
      <c r="K28" s="63"/>
      <c r="L28" s="63"/>
      <c r="M28" s="63"/>
      <c r="N28" s="63"/>
    </row>
    <row r="29" spans="1:14" s="62" customFormat="1" ht="11.25">
      <c r="A29" s="65"/>
      <c r="B29" s="112" t="s">
        <v>65</v>
      </c>
      <c r="C29" s="102">
        <f>C28</f>
        <v>20</v>
      </c>
      <c r="D29" s="103">
        <v>10</v>
      </c>
      <c r="E29" s="144">
        <f t="shared" si="3"/>
        <v>6</v>
      </c>
      <c r="F29" s="236">
        <f t="shared" si="4"/>
        <v>3.3333333333333335</v>
      </c>
      <c r="G29" s="226">
        <f t="shared" si="5"/>
        <v>0.021645021645021648</v>
      </c>
      <c r="H29" s="65"/>
      <c r="I29" s="64"/>
      <c r="J29" s="65"/>
      <c r="K29" s="65"/>
      <c r="L29" s="65"/>
      <c r="M29" s="65"/>
      <c r="N29" s="65"/>
    </row>
    <row r="30" spans="2:9" ht="19.5" customHeight="1">
      <c r="B30" s="161" t="s">
        <v>53</v>
      </c>
      <c r="C30" s="73"/>
      <c r="D30" s="74"/>
      <c r="E30" s="146"/>
      <c r="F30" s="235">
        <f>SUM(F31:F40)</f>
        <v>1615.1666666666667</v>
      </c>
      <c r="G30" s="237">
        <f>SUM(G31:G40)</f>
        <v>10.488095238095237</v>
      </c>
      <c r="I30" s="64"/>
    </row>
    <row r="31" spans="1:14" s="62" customFormat="1" ht="11.25">
      <c r="A31" s="142"/>
      <c r="B31" s="110" t="s">
        <v>56</v>
      </c>
      <c r="C31" s="106">
        <v>1</v>
      </c>
      <c r="D31" s="103">
        <v>10</v>
      </c>
      <c r="E31" s="145">
        <f aca="true" t="shared" si="6" ref="E31:E40">60/D31</f>
        <v>6</v>
      </c>
      <c r="F31" s="236">
        <f aca="true" t="shared" si="7" ref="F31:F40">(C31*D31)/60</f>
        <v>0.16666666666666666</v>
      </c>
      <c r="G31" s="226">
        <f aca="true" t="shared" si="8" ref="G31:G40">F31/$D$3</f>
        <v>0.0010822510822510823</v>
      </c>
      <c r="H31" s="65"/>
      <c r="I31" s="64"/>
      <c r="J31" s="65"/>
      <c r="K31" s="65"/>
      <c r="L31" s="65"/>
      <c r="M31" s="65"/>
      <c r="N31" s="65"/>
    </row>
    <row r="32" spans="1:14" s="62" customFormat="1" ht="11.25">
      <c r="A32" s="65"/>
      <c r="B32" s="110" t="s">
        <v>57</v>
      </c>
      <c r="C32" s="102">
        <v>1700</v>
      </c>
      <c r="D32" s="103">
        <v>10</v>
      </c>
      <c r="E32" s="145">
        <f t="shared" si="6"/>
        <v>6</v>
      </c>
      <c r="F32" s="236">
        <f t="shared" si="7"/>
        <v>283.3333333333333</v>
      </c>
      <c r="G32" s="226">
        <f t="shared" si="8"/>
        <v>1.8398268398268398</v>
      </c>
      <c r="H32" s="65"/>
      <c r="I32" s="64"/>
      <c r="J32" s="65"/>
      <c r="K32" s="65"/>
      <c r="L32" s="65"/>
      <c r="M32" s="65"/>
      <c r="N32" s="65"/>
    </row>
    <row r="33" spans="1:14" s="62" customFormat="1" ht="11.25">
      <c r="A33" s="65"/>
      <c r="B33" s="110" t="s">
        <v>58</v>
      </c>
      <c r="C33" s="102">
        <f>C32*40%</f>
        <v>680</v>
      </c>
      <c r="D33" s="103">
        <v>10</v>
      </c>
      <c r="E33" s="145">
        <f t="shared" si="6"/>
        <v>6</v>
      </c>
      <c r="F33" s="236">
        <f t="shared" si="7"/>
        <v>113.33333333333333</v>
      </c>
      <c r="G33" s="226">
        <f t="shared" si="8"/>
        <v>0.7359307359307359</v>
      </c>
      <c r="H33" s="65"/>
      <c r="I33" s="64"/>
      <c r="J33" s="65"/>
      <c r="K33" s="65"/>
      <c r="L33" s="65"/>
      <c r="M33" s="65"/>
      <c r="N33" s="65"/>
    </row>
    <row r="34" spans="1:14" s="62" customFormat="1" ht="11.25">
      <c r="A34" s="65"/>
      <c r="B34" s="110" t="s">
        <v>59</v>
      </c>
      <c r="C34" s="102">
        <f>C33*25%</f>
        <v>170</v>
      </c>
      <c r="D34" s="103">
        <v>10</v>
      </c>
      <c r="E34" s="145">
        <f t="shared" si="6"/>
        <v>6</v>
      </c>
      <c r="F34" s="236">
        <f t="shared" si="7"/>
        <v>28.333333333333332</v>
      </c>
      <c r="G34" s="226">
        <f t="shared" si="8"/>
        <v>0.18398268398268397</v>
      </c>
      <c r="H34" s="65"/>
      <c r="I34" s="64"/>
      <c r="J34" s="65"/>
      <c r="K34" s="65"/>
      <c r="L34" s="65"/>
      <c r="M34" s="65"/>
      <c r="N34" s="65"/>
    </row>
    <row r="35" spans="1:14" s="62" customFormat="1" ht="11.25">
      <c r="A35" s="65"/>
      <c r="B35" s="110" t="s">
        <v>60</v>
      </c>
      <c r="C35" s="102">
        <f>C32</f>
        <v>1700</v>
      </c>
      <c r="D35" s="103">
        <v>10</v>
      </c>
      <c r="E35" s="145">
        <f t="shared" si="6"/>
        <v>6</v>
      </c>
      <c r="F35" s="236">
        <f t="shared" si="7"/>
        <v>283.3333333333333</v>
      </c>
      <c r="G35" s="226">
        <f t="shared" si="8"/>
        <v>1.8398268398268398</v>
      </c>
      <c r="H35" s="65"/>
      <c r="I35" s="64"/>
      <c r="J35" s="65"/>
      <c r="K35" s="65"/>
      <c r="L35" s="65"/>
      <c r="M35" s="65"/>
      <c r="N35" s="65"/>
    </row>
    <row r="36" spans="1:14" s="62" customFormat="1" ht="11.25">
      <c r="A36" s="65"/>
      <c r="B36" s="112" t="s">
        <v>61</v>
      </c>
      <c r="C36" s="102">
        <f>C32-C34</f>
        <v>1530</v>
      </c>
      <c r="D36" s="103">
        <v>10</v>
      </c>
      <c r="E36" s="145">
        <f t="shared" si="6"/>
        <v>6</v>
      </c>
      <c r="F36" s="236">
        <f t="shared" si="7"/>
        <v>255</v>
      </c>
      <c r="G36" s="226">
        <f t="shared" si="8"/>
        <v>1.655844155844156</v>
      </c>
      <c r="H36" s="65"/>
      <c r="I36" s="64"/>
      <c r="J36" s="65"/>
      <c r="K36" s="65"/>
      <c r="L36" s="65"/>
      <c r="M36" s="65"/>
      <c r="N36" s="65"/>
    </row>
    <row r="37" spans="1:14" s="62" customFormat="1" ht="11.25">
      <c r="A37" s="65"/>
      <c r="B37" s="112" t="s">
        <v>62</v>
      </c>
      <c r="C37" s="102">
        <f>C34</f>
        <v>170</v>
      </c>
      <c r="D37" s="103">
        <v>10</v>
      </c>
      <c r="E37" s="145">
        <f t="shared" si="6"/>
        <v>6</v>
      </c>
      <c r="F37" s="236">
        <f t="shared" si="7"/>
        <v>28.333333333333332</v>
      </c>
      <c r="G37" s="226">
        <f t="shared" si="8"/>
        <v>0.18398268398268397</v>
      </c>
      <c r="H37" s="65"/>
      <c r="I37" s="64"/>
      <c r="J37" s="65"/>
      <c r="K37" s="65"/>
      <c r="L37" s="65"/>
      <c r="M37" s="65"/>
      <c r="N37" s="65"/>
    </row>
    <row r="38" spans="1:14" s="62" customFormat="1" ht="11.25">
      <c r="A38" s="65"/>
      <c r="B38" s="110" t="s">
        <v>63</v>
      </c>
      <c r="C38" s="102">
        <f>C32</f>
        <v>1700</v>
      </c>
      <c r="D38" s="103">
        <v>10</v>
      </c>
      <c r="E38" s="145">
        <f t="shared" si="6"/>
        <v>6</v>
      </c>
      <c r="F38" s="236">
        <f t="shared" si="7"/>
        <v>283.3333333333333</v>
      </c>
      <c r="G38" s="226">
        <f t="shared" si="8"/>
        <v>1.8398268398268398</v>
      </c>
      <c r="H38" s="65"/>
      <c r="I38" s="64"/>
      <c r="J38" s="65"/>
      <c r="K38" s="65"/>
      <c r="L38" s="65"/>
      <c r="M38" s="65"/>
      <c r="N38" s="65"/>
    </row>
    <row r="39" spans="1:14" s="62" customFormat="1" ht="11.25">
      <c r="A39" s="65"/>
      <c r="B39" s="112" t="s">
        <v>64</v>
      </c>
      <c r="C39" s="102">
        <f>C32</f>
        <v>1700</v>
      </c>
      <c r="D39" s="103">
        <v>10</v>
      </c>
      <c r="E39" s="145">
        <f t="shared" si="6"/>
        <v>6</v>
      </c>
      <c r="F39" s="236">
        <f t="shared" si="7"/>
        <v>283.3333333333333</v>
      </c>
      <c r="G39" s="226">
        <f t="shared" si="8"/>
        <v>1.8398268398268398</v>
      </c>
      <c r="H39" s="65"/>
      <c r="I39" s="64"/>
      <c r="J39" s="65"/>
      <c r="K39" s="65"/>
      <c r="L39" s="65"/>
      <c r="M39" s="65"/>
      <c r="N39" s="65"/>
    </row>
    <row r="40" spans="1:14" s="62" customFormat="1" ht="11.25">
      <c r="A40" s="65"/>
      <c r="B40" s="112" t="s">
        <v>65</v>
      </c>
      <c r="C40" s="102">
        <f>C32*20%</f>
        <v>340</v>
      </c>
      <c r="D40" s="103">
        <v>10</v>
      </c>
      <c r="E40" s="145">
        <f t="shared" si="6"/>
        <v>6</v>
      </c>
      <c r="F40" s="236">
        <f t="shared" si="7"/>
        <v>56.666666666666664</v>
      </c>
      <c r="G40" s="226">
        <f t="shared" si="8"/>
        <v>0.36796536796536794</v>
      </c>
      <c r="H40" s="65"/>
      <c r="I40" s="64"/>
      <c r="J40" s="65"/>
      <c r="K40" s="65"/>
      <c r="L40" s="65"/>
      <c r="M40" s="65"/>
      <c r="N40" s="65"/>
    </row>
    <row r="41" spans="2:9" ht="19.5" customHeight="1">
      <c r="B41" s="161" t="s">
        <v>54</v>
      </c>
      <c r="C41" s="73"/>
      <c r="D41" s="74"/>
      <c r="E41" s="146"/>
      <c r="F41" s="235">
        <f>SUM(F42:F51)</f>
        <v>1088</v>
      </c>
      <c r="G41" s="237">
        <f>SUM(G42:G51)</f>
        <v>7.064935064935065</v>
      </c>
      <c r="I41" s="64"/>
    </row>
    <row r="42" spans="1:14" s="62" customFormat="1" ht="11.25">
      <c r="A42" s="142"/>
      <c r="B42" s="110" t="s">
        <v>56</v>
      </c>
      <c r="C42" s="106">
        <v>1</v>
      </c>
      <c r="D42" s="103">
        <v>10</v>
      </c>
      <c r="E42" s="145">
        <f aca="true" t="shared" si="9" ref="E42:E51">60/D42</f>
        <v>6</v>
      </c>
      <c r="F42" s="236">
        <f aca="true" t="shared" si="10" ref="F42:F62">(C42*D42)/60</f>
        <v>0.16666666666666666</v>
      </c>
      <c r="G42" s="226">
        <f aca="true" t="shared" si="11" ref="G42:G51">F42/$D$3</f>
        <v>0.0010822510822510823</v>
      </c>
      <c r="H42" s="65"/>
      <c r="I42" s="64"/>
      <c r="J42" s="65"/>
      <c r="K42" s="65"/>
      <c r="L42" s="65"/>
      <c r="M42" s="65"/>
      <c r="N42" s="65"/>
    </row>
    <row r="43" spans="1:14" s="62" customFormat="1" ht="11.25">
      <c r="A43" s="65"/>
      <c r="B43" s="110" t="s">
        <v>57</v>
      </c>
      <c r="C43" s="102">
        <v>1500</v>
      </c>
      <c r="D43" s="103">
        <v>10</v>
      </c>
      <c r="E43" s="145">
        <f t="shared" si="9"/>
        <v>6</v>
      </c>
      <c r="F43" s="236">
        <f t="shared" si="10"/>
        <v>250</v>
      </c>
      <c r="G43" s="226">
        <f t="shared" si="11"/>
        <v>1.6233766233766234</v>
      </c>
      <c r="H43" s="65"/>
      <c r="I43" s="64"/>
      <c r="J43" s="65"/>
      <c r="K43" s="65"/>
      <c r="L43" s="65"/>
      <c r="M43" s="65"/>
      <c r="N43" s="65"/>
    </row>
    <row r="44" spans="1:14" s="62" customFormat="1" ht="11.25">
      <c r="A44" s="65"/>
      <c r="B44" s="110" t="s">
        <v>58</v>
      </c>
      <c r="C44" s="102">
        <f>C43*20%</f>
        <v>300</v>
      </c>
      <c r="D44" s="103">
        <v>10</v>
      </c>
      <c r="E44" s="145">
        <f t="shared" si="9"/>
        <v>6</v>
      </c>
      <c r="F44" s="236">
        <f t="shared" si="10"/>
        <v>50</v>
      </c>
      <c r="G44" s="226">
        <f t="shared" si="11"/>
        <v>0.3246753246753247</v>
      </c>
      <c r="H44" s="65"/>
      <c r="I44" s="64"/>
      <c r="J44" s="65"/>
      <c r="K44" s="65"/>
      <c r="L44" s="65"/>
      <c r="M44" s="65"/>
      <c r="N44" s="65"/>
    </row>
    <row r="45" spans="1:14" s="62" customFormat="1" ht="11.25">
      <c r="A45" s="65"/>
      <c r="B45" s="110" t="s">
        <v>59</v>
      </c>
      <c r="C45" s="102">
        <f>C44*50%</f>
        <v>150</v>
      </c>
      <c r="D45" s="103">
        <v>10</v>
      </c>
      <c r="E45" s="145">
        <f t="shared" si="9"/>
        <v>6</v>
      </c>
      <c r="F45" s="236">
        <f t="shared" si="10"/>
        <v>25</v>
      </c>
      <c r="G45" s="226">
        <f t="shared" si="11"/>
        <v>0.16233766233766234</v>
      </c>
      <c r="H45" s="65"/>
      <c r="I45" s="64"/>
      <c r="J45" s="65"/>
      <c r="K45" s="65"/>
      <c r="L45" s="65"/>
      <c r="M45" s="65"/>
      <c r="N45" s="65"/>
    </row>
    <row r="46" spans="1:14" s="62" customFormat="1" ht="11.25">
      <c r="A46" s="65"/>
      <c r="B46" s="110" t="s">
        <v>60</v>
      </c>
      <c r="C46" s="102">
        <f>C43</f>
        <v>1500</v>
      </c>
      <c r="D46" s="103">
        <v>10</v>
      </c>
      <c r="E46" s="145">
        <f t="shared" si="9"/>
        <v>6</v>
      </c>
      <c r="F46" s="236">
        <f t="shared" si="10"/>
        <v>250</v>
      </c>
      <c r="G46" s="226">
        <f t="shared" si="11"/>
        <v>1.6233766233766234</v>
      </c>
      <c r="H46" s="65"/>
      <c r="I46" s="64"/>
      <c r="J46" s="65"/>
      <c r="K46" s="65"/>
      <c r="L46" s="65"/>
      <c r="M46" s="65"/>
      <c r="N46" s="65"/>
    </row>
    <row r="47" spans="1:14" s="62" customFormat="1" ht="11.25">
      <c r="A47" s="65"/>
      <c r="B47" s="112" t="s">
        <v>61</v>
      </c>
      <c r="C47" s="102">
        <f>C43</f>
        <v>1500</v>
      </c>
      <c r="D47" s="103">
        <v>10</v>
      </c>
      <c r="E47" s="145">
        <f t="shared" si="9"/>
        <v>6</v>
      </c>
      <c r="F47" s="236">
        <f t="shared" si="10"/>
        <v>250</v>
      </c>
      <c r="G47" s="226">
        <f t="shared" si="11"/>
        <v>1.6233766233766234</v>
      </c>
      <c r="H47" s="65"/>
      <c r="I47" s="64"/>
      <c r="J47" s="65"/>
      <c r="K47" s="65"/>
      <c r="L47" s="65"/>
      <c r="M47" s="65"/>
      <c r="N47" s="65"/>
    </row>
    <row r="48" spans="1:14" s="62" customFormat="1" ht="11.25">
      <c r="A48" s="65"/>
      <c r="B48" s="112" t="s">
        <v>62</v>
      </c>
      <c r="C48" s="102">
        <v>17</v>
      </c>
      <c r="D48" s="103">
        <v>10</v>
      </c>
      <c r="E48" s="145">
        <f t="shared" si="9"/>
        <v>6</v>
      </c>
      <c r="F48" s="236">
        <f t="shared" si="10"/>
        <v>2.8333333333333335</v>
      </c>
      <c r="G48" s="226">
        <f t="shared" si="11"/>
        <v>0.0183982683982684</v>
      </c>
      <c r="H48" s="65"/>
      <c r="I48" s="64"/>
      <c r="J48" s="65"/>
      <c r="K48" s="65"/>
      <c r="L48" s="65"/>
      <c r="M48" s="65"/>
      <c r="N48" s="65"/>
    </row>
    <row r="49" spans="1:14" s="62" customFormat="1" ht="11.25">
      <c r="A49" s="65"/>
      <c r="B49" s="110" t="s">
        <v>63</v>
      </c>
      <c r="C49" s="102">
        <f>C43*80%</f>
        <v>1200</v>
      </c>
      <c r="D49" s="103">
        <v>10</v>
      </c>
      <c r="E49" s="145">
        <f t="shared" si="9"/>
        <v>6</v>
      </c>
      <c r="F49" s="236">
        <f t="shared" si="10"/>
        <v>200</v>
      </c>
      <c r="G49" s="226">
        <f t="shared" si="11"/>
        <v>1.2987012987012987</v>
      </c>
      <c r="H49" s="65"/>
      <c r="I49" s="64"/>
      <c r="J49" s="65"/>
      <c r="K49" s="65"/>
      <c r="L49" s="65"/>
      <c r="M49" s="65"/>
      <c r="N49" s="65"/>
    </row>
    <row r="50" spans="1:14" s="62" customFormat="1" ht="11.25">
      <c r="A50" s="65"/>
      <c r="B50" s="110" t="s">
        <v>64</v>
      </c>
      <c r="C50" s="102">
        <f>C44*80%</f>
        <v>240</v>
      </c>
      <c r="D50" s="103">
        <v>10</v>
      </c>
      <c r="E50" s="145">
        <f t="shared" si="9"/>
        <v>6</v>
      </c>
      <c r="F50" s="236">
        <f t="shared" si="10"/>
        <v>40</v>
      </c>
      <c r="G50" s="226">
        <f t="shared" si="11"/>
        <v>0.2597402597402597</v>
      </c>
      <c r="H50" s="65"/>
      <c r="I50" s="64"/>
      <c r="J50" s="65"/>
      <c r="K50" s="65"/>
      <c r="L50" s="65"/>
      <c r="M50" s="65"/>
      <c r="N50" s="65"/>
    </row>
    <row r="51" spans="1:14" s="62" customFormat="1" ht="11.25">
      <c r="A51" s="65"/>
      <c r="B51" s="110" t="s">
        <v>65</v>
      </c>
      <c r="C51" s="102">
        <f>C45*80%</f>
        <v>120</v>
      </c>
      <c r="D51" s="103">
        <v>10</v>
      </c>
      <c r="E51" s="145">
        <f t="shared" si="9"/>
        <v>6</v>
      </c>
      <c r="F51" s="236">
        <f t="shared" si="10"/>
        <v>20</v>
      </c>
      <c r="G51" s="226">
        <f t="shared" si="11"/>
        <v>0.12987012987012986</v>
      </c>
      <c r="H51" s="65"/>
      <c r="I51" s="64"/>
      <c r="J51" s="65"/>
      <c r="K51" s="65"/>
      <c r="L51" s="65"/>
      <c r="M51" s="65"/>
      <c r="N51" s="65"/>
    </row>
    <row r="52" spans="2:9" ht="19.5" customHeight="1">
      <c r="B52" s="161" t="s">
        <v>55</v>
      </c>
      <c r="C52" s="73"/>
      <c r="D52" s="74"/>
      <c r="E52" s="146"/>
      <c r="F52" s="235">
        <f>SUM(F53:F62)</f>
        <v>230.83333333333337</v>
      </c>
      <c r="G52" s="237">
        <f>SUM(G53:G62)</f>
        <v>1.498917748917749</v>
      </c>
      <c r="I52" s="72"/>
    </row>
    <row r="53" spans="1:9" s="62" customFormat="1" ht="11.25">
      <c r="A53" s="65"/>
      <c r="B53" s="110" t="s">
        <v>56</v>
      </c>
      <c r="C53" s="106">
        <v>180</v>
      </c>
      <c r="D53" s="103">
        <v>10</v>
      </c>
      <c r="E53" s="145">
        <f aca="true" t="shared" si="12" ref="E53:E62">60/D53</f>
        <v>6</v>
      </c>
      <c r="F53" s="236">
        <f t="shared" si="10"/>
        <v>30</v>
      </c>
      <c r="G53" s="226">
        <f aca="true" t="shared" si="13" ref="G53:G62">F53/$D$3</f>
        <v>0.19480519480519481</v>
      </c>
      <c r="I53" s="64"/>
    </row>
    <row r="54" spans="1:14" s="62" customFormat="1" ht="11.25">
      <c r="A54" s="65"/>
      <c r="B54" s="110" t="s">
        <v>57</v>
      </c>
      <c r="C54" s="106">
        <f>(C55+C56)*5%</f>
        <v>22.5</v>
      </c>
      <c r="D54" s="103">
        <v>10</v>
      </c>
      <c r="E54" s="145">
        <f t="shared" si="12"/>
        <v>6</v>
      </c>
      <c r="F54" s="236">
        <f t="shared" si="10"/>
        <v>3.75</v>
      </c>
      <c r="G54" s="226">
        <f t="shared" si="13"/>
        <v>0.024350649350649352</v>
      </c>
      <c r="I54" s="64"/>
      <c r="J54" s="65"/>
      <c r="K54" s="65"/>
      <c r="L54" s="65"/>
      <c r="M54" s="65"/>
      <c r="N54" s="65"/>
    </row>
    <row r="55" spans="1:14" s="62" customFormat="1" ht="11.25">
      <c r="A55" s="65"/>
      <c r="B55" s="110" t="s">
        <v>58</v>
      </c>
      <c r="C55" s="106">
        <v>350</v>
      </c>
      <c r="D55" s="103">
        <v>10</v>
      </c>
      <c r="E55" s="145">
        <f t="shared" si="12"/>
        <v>6</v>
      </c>
      <c r="F55" s="236">
        <f t="shared" si="10"/>
        <v>58.333333333333336</v>
      </c>
      <c r="G55" s="226">
        <f t="shared" si="13"/>
        <v>0.3787878787878788</v>
      </c>
      <c r="I55" s="64"/>
      <c r="J55" s="65"/>
      <c r="K55" s="65"/>
      <c r="L55" s="65"/>
      <c r="M55" s="65"/>
      <c r="N55" s="65"/>
    </row>
    <row r="56" spans="1:14" s="62" customFormat="1" ht="11.25">
      <c r="A56" s="65"/>
      <c r="B56" s="110" t="s">
        <v>59</v>
      </c>
      <c r="C56" s="106">
        <v>100</v>
      </c>
      <c r="D56" s="103">
        <v>10</v>
      </c>
      <c r="E56" s="145">
        <f t="shared" si="12"/>
        <v>6</v>
      </c>
      <c r="F56" s="236">
        <f t="shared" si="10"/>
        <v>16.666666666666668</v>
      </c>
      <c r="G56" s="226">
        <f t="shared" si="13"/>
        <v>0.10822510822510824</v>
      </c>
      <c r="I56" s="64"/>
      <c r="J56" s="65"/>
      <c r="K56" s="65"/>
      <c r="L56" s="65"/>
      <c r="M56" s="65"/>
      <c r="N56" s="65"/>
    </row>
    <row r="57" spans="1:14" s="62" customFormat="1" ht="11.25">
      <c r="A57" s="65"/>
      <c r="B57" s="110" t="s">
        <v>60</v>
      </c>
      <c r="C57" s="106">
        <f>C56*50%</f>
        <v>50</v>
      </c>
      <c r="D57" s="103">
        <v>10</v>
      </c>
      <c r="E57" s="145">
        <f t="shared" si="12"/>
        <v>6</v>
      </c>
      <c r="F57" s="236">
        <f t="shared" si="10"/>
        <v>8.333333333333334</v>
      </c>
      <c r="G57" s="226">
        <f t="shared" si="13"/>
        <v>0.05411255411255412</v>
      </c>
      <c r="I57" s="64"/>
      <c r="J57" s="65"/>
      <c r="K57" s="65"/>
      <c r="L57" s="65"/>
      <c r="M57" s="65"/>
      <c r="N57" s="65"/>
    </row>
    <row r="58" spans="1:14" s="62" customFormat="1" ht="11.25">
      <c r="A58" s="65"/>
      <c r="B58" s="112" t="s">
        <v>61</v>
      </c>
      <c r="C58" s="111">
        <v>10</v>
      </c>
      <c r="D58" s="103">
        <v>10</v>
      </c>
      <c r="E58" s="145">
        <f t="shared" si="12"/>
        <v>6</v>
      </c>
      <c r="F58" s="236">
        <f t="shared" si="10"/>
        <v>1.6666666666666667</v>
      </c>
      <c r="G58" s="226">
        <f t="shared" si="13"/>
        <v>0.010822510822510824</v>
      </c>
      <c r="I58" s="64"/>
      <c r="J58" s="65"/>
      <c r="K58" s="65"/>
      <c r="L58" s="65"/>
      <c r="M58" s="65"/>
      <c r="N58" s="65"/>
    </row>
    <row r="59" spans="1:14" s="62" customFormat="1" ht="11.25">
      <c r="A59" s="65"/>
      <c r="B59" s="112" t="s">
        <v>62</v>
      </c>
      <c r="C59" s="106">
        <f>C57</f>
        <v>50</v>
      </c>
      <c r="D59" s="103">
        <v>10</v>
      </c>
      <c r="E59" s="145">
        <f t="shared" si="12"/>
        <v>6</v>
      </c>
      <c r="F59" s="236">
        <f t="shared" si="10"/>
        <v>8.333333333333334</v>
      </c>
      <c r="G59" s="226">
        <f t="shared" si="13"/>
        <v>0.05411255411255412</v>
      </c>
      <c r="I59" s="64"/>
      <c r="J59" s="65"/>
      <c r="K59" s="65"/>
      <c r="L59" s="65"/>
      <c r="M59" s="65"/>
      <c r="N59" s="65"/>
    </row>
    <row r="60" spans="1:9" s="62" customFormat="1" ht="11.25">
      <c r="A60" s="65"/>
      <c r="B60" s="110" t="s">
        <v>63</v>
      </c>
      <c r="C60" s="106">
        <f>C54+C55</f>
        <v>372.5</v>
      </c>
      <c r="D60" s="103">
        <v>10</v>
      </c>
      <c r="E60" s="145">
        <f t="shared" si="12"/>
        <v>6</v>
      </c>
      <c r="F60" s="236">
        <f t="shared" si="10"/>
        <v>62.083333333333336</v>
      </c>
      <c r="G60" s="226">
        <f t="shared" si="13"/>
        <v>0.40313852813852813</v>
      </c>
      <c r="I60" s="64"/>
    </row>
    <row r="61" spans="1:14" s="62" customFormat="1" ht="11.25">
      <c r="A61" s="65"/>
      <c r="B61" s="112" t="s">
        <v>64</v>
      </c>
      <c r="C61" s="106">
        <f>C59</f>
        <v>50</v>
      </c>
      <c r="D61" s="103">
        <v>10</v>
      </c>
      <c r="E61" s="145">
        <f t="shared" si="12"/>
        <v>6</v>
      </c>
      <c r="F61" s="236">
        <f t="shared" si="10"/>
        <v>8.333333333333334</v>
      </c>
      <c r="G61" s="226">
        <f t="shared" si="13"/>
        <v>0.05411255411255412</v>
      </c>
      <c r="I61" s="64"/>
      <c r="J61" s="65"/>
      <c r="K61" s="65"/>
      <c r="L61" s="65"/>
      <c r="M61" s="65"/>
      <c r="N61" s="65"/>
    </row>
    <row r="62" spans="1:14" s="62" customFormat="1" ht="11.25">
      <c r="A62" s="65"/>
      <c r="B62" s="112" t="s">
        <v>65</v>
      </c>
      <c r="C62" s="106">
        <v>200</v>
      </c>
      <c r="D62" s="103">
        <v>10</v>
      </c>
      <c r="E62" s="145">
        <f t="shared" si="12"/>
        <v>6</v>
      </c>
      <c r="F62" s="236">
        <f t="shared" si="10"/>
        <v>33.333333333333336</v>
      </c>
      <c r="G62" s="226">
        <f t="shared" si="13"/>
        <v>0.21645021645021648</v>
      </c>
      <c r="I62" s="64"/>
      <c r="J62" s="65"/>
      <c r="K62" s="65"/>
      <c r="L62" s="65"/>
      <c r="M62" s="65"/>
      <c r="N62" s="65"/>
    </row>
    <row r="63" spans="2:10" ht="11.25">
      <c r="B63" s="83" t="s">
        <v>28</v>
      </c>
      <c r="C63" s="108">
        <f>SUM(C9:C62)</f>
        <v>21220.8</v>
      </c>
      <c r="D63" s="109"/>
      <c r="E63" s="92"/>
      <c r="F63" s="234">
        <f>SUM(F52,F41,F30,F19,F8)</f>
        <v>3536.8</v>
      </c>
      <c r="G63" s="218">
        <f>SUM(G52,G41,G30,G19,G8)</f>
        <v>22.966233766233763</v>
      </c>
      <c r="H63" s="62"/>
      <c r="I63" s="62"/>
      <c r="J63" s="62"/>
    </row>
    <row r="64" spans="2:9" ht="12" thickBot="1">
      <c r="B64" s="76"/>
      <c r="C64" s="77"/>
      <c r="D64" s="78"/>
      <c r="E64" s="77"/>
      <c r="F64" s="221"/>
      <c r="G64" s="79"/>
      <c r="H64" s="81"/>
      <c r="I64" s="64"/>
    </row>
    <row r="66" ht="11.25">
      <c r="I66" s="81"/>
    </row>
    <row r="67" ht="11.25">
      <c r="H67" s="82"/>
    </row>
  </sheetData>
  <sheetProtection/>
  <mergeCells count="7">
    <mergeCell ref="B2:G2"/>
    <mergeCell ref="C4:C5"/>
    <mergeCell ref="D4:D5"/>
    <mergeCell ref="E4:E5"/>
    <mergeCell ref="F4:F5"/>
    <mergeCell ref="G4:G5"/>
    <mergeCell ref="E3:G3"/>
  </mergeCells>
  <printOptions horizontalCentered="1"/>
  <pageMargins left="0" right="0" top="0.12" bottom="0.51" header="0" footer="0.2"/>
  <pageSetup horizontalDpi="600" verticalDpi="600" orientation="portrait" r:id="rId2"/>
  <headerFooter alignWithMargins="0">
    <oddHeader>&amp;L&amp;"Times New Roman,Bold"&amp;12
</oddHeader>
    <oddFooter>&amp;C&amp;"Arial,Regular"&amp;9© 2010 Orient Point Consulting LLC, All rights reserved
http://orientpoint.com   (888) 444-2210</oddFooter>
  </headerFooter>
  <drawing r:id="rId1"/>
</worksheet>
</file>

<file path=xl/worksheets/sheet5.xml><?xml version="1.0" encoding="utf-8"?>
<worksheet xmlns="http://schemas.openxmlformats.org/spreadsheetml/2006/main" xmlns:r="http://schemas.openxmlformats.org/officeDocument/2006/relationships">
  <sheetPr transitionEvaluation="1">
    <tabColor indexed="42"/>
  </sheetPr>
  <dimension ref="A1:T66"/>
  <sheetViews>
    <sheetView showZeros="0" zoomScaleSheetLayoutView="100" zoomScalePageLayoutView="0" workbookViewId="0" topLeftCell="A1">
      <selection activeCell="B3" sqref="B3"/>
    </sheetView>
  </sheetViews>
  <sheetFormatPr defaultColWidth="9.66015625" defaultRowHeight="12.75"/>
  <cols>
    <col min="1" max="1" width="4" style="65" customWidth="1"/>
    <col min="2" max="2" width="49.66015625" style="62" customWidth="1"/>
    <col min="3" max="3" width="12.83203125" style="63" customWidth="1"/>
    <col min="4" max="4" width="15.5" style="64" customWidth="1"/>
    <col min="5" max="7" width="12.83203125" style="63" customWidth="1"/>
    <col min="8" max="8" width="12.83203125" style="65" customWidth="1"/>
    <col min="9" max="9" width="14" style="65" customWidth="1"/>
    <col min="10" max="11" width="12.83203125" style="65" customWidth="1"/>
    <col min="12" max="12" width="20.66015625" style="65" customWidth="1"/>
    <col min="13" max="13" width="13.5" style="65" customWidth="1"/>
    <col min="14" max="14" width="12.16015625" style="65" hidden="1" customWidth="1"/>
    <col min="15" max="15" width="12.66015625" style="65" hidden="1" customWidth="1"/>
    <col min="16" max="16384" width="9.66015625" style="65" customWidth="1"/>
  </cols>
  <sheetData>
    <row r="1" spans="1:8" ht="21.75" customHeight="1" thickBot="1">
      <c r="A1" s="140"/>
      <c r="H1" s="82"/>
    </row>
    <row r="2" spans="2:13" ht="75" customHeight="1">
      <c r="B2" s="254" t="s">
        <v>127</v>
      </c>
      <c r="C2" s="255"/>
      <c r="D2" s="255"/>
      <c r="E2" s="255"/>
      <c r="F2" s="255"/>
      <c r="G2" s="255"/>
      <c r="H2" s="238" t="s">
        <v>116</v>
      </c>
      <c r="I2" s="239">
        <v>147</v>
      </c>
      <c r="J2" s="183"/>
      <c r="K2" s="184"/>
      <c r="L2" s="184"/>
      <c r="M2" s="240"/>
    </row>
    <row r="3" spans="2:13" ht="36.75" customHeight="1">
      <c r="B3" s="241"/>
      <c r="C3" s="261" t="s">
        <v>48</v>
      </c>
      <c r="D3" s="268" t="s">
        <v>47</v>
      </c>
      <c r="E3" s="262" t="s">
        <v>29</v>
      </c>
      <c r="F3" s="262" t="s">
        <v>46</v>
      </c>
      <c r="G3" s="261" t="s">
        <v>45</v>
      </c>
      <c r="H3" s="293" t="s">
        <v>12</v>
      </c>
      <c r="I3" s="294"/>
      <c r="J3" s="180"/>
      <c r="K3" s="180"/>
      <c r="L3" s="256" t="s">
        <v>42</v>
      </c>
      <c r="M3" s="290" t="s">
        <v>41</v>
      </c>
    </row>
    <row r="4" spans="2:13" ht="26.25" customHeight="1">
      <c r="B4" s="143"/>
      <c r="C4" s="260"/>
      <c r="D4" s="270"/>
      <c r="E4" s="264"/>
      <c r="F4" s="264"/>
      <c r="G4" s="260"/>
      <c r="H4" s="178" t="s">
        <v>44</v>
      </c>
      <c r="I4" s="178" t="s">
        <v>2</v>
      </c>
      <c r="J4" s="178" t="s">
        <v>16</v>
      </c>
      <c r="K4" s="178" t="s">
        <v>43</v>
      </c>
      <c r="L4" s="257"/>
      <c r="M4" s="291"/>
    </row>
    <row r="5" spans="2:13" ht="13.5" customHeight="1">
      <c r="B5" s="143" t="s">
        <v>49</v>
      </c>
      <c r="C5" s="178"/>
      <c r="D5" s="179"/>
      <c r="E5" s="177"/>
      <c r="F5" s="177"/>
      <c r="G5" s="178"/>
      <c r="H5" s="178"/>
      <c r="I5" s="178"/>
      <c r="J5" s="178"/>
      <c r="K5" s="178"/>
      <c r="L5" s="258"/>
      <c r="M5" s="292"/>
    </row>
    <row r="6" spans="2:16" ht="13.5" customHeight="1">
      <c r="B6" s="83" t="s">
        <v>28</v>
      </c>
      <c r="C6" s="91">
        <f>SUM(C8:C61)</f>
        <v>21220.8</v>
      </c>
      <c r="D6" s="92"/>
      <c r="E6" s="92"/>
      <c r="F6" s="94">
        <f aca="true" t="shared" si="0" ref="F6:L6">SUM(F8:F61)</f>
        <v>6552.633333333332</v>
      </c>
      <c r="G6" s="94">
        <f>SUM(G7,G18,G29,G40,G51)</f>
        <v>24.05986394557823</v>
      </c>
      <c r="H6" s="150">
        <f t="shared" si="0"/>
        <v>4554.421768707483</v>
      </c>
      <c r="I6" s="150">
        <f t="shared" si="0"/>
        <v>20594.020861678007</v>
      </c>
      <c r="J6" s="150">
        <f t="shared" si="0"/>
        <v>12748.96238955352</v>
      </c>
      <c r="K6" s="150">
        <f t="shared" si="0"/>
        <v>3330.1960264507375</v>
      </c>
      <c r="L6" s="94">
        <f t="shared" si="0"/>
        <v>41227.60104638975</v>
      </c>
      <c r="M6" s="242"/>
      <c r="N6" s="62"/>
      <c r="O6" s="62"/>
      <c r="P6" s="62"/>
    </row>
    <row r="7" spans="2:15" ht="19.5" customHeight="1">
      <c r="B7" s="159" t="s">
        <v>51</v>
      </c>
      <c r="C7" s="66"/>
      <c r="D7" s="67"/>
      <c r="E7" s="66"/>
      <c r="F7" s="219">
        <f>SUM(F8:F17)</f>
        <v>520.9666666666667</v>
      </c>
      <c r="G7" s="225">
        <f>SUM(G8:G17)</f>
        <v>3.543990929705216</v>
      </c>
      <c r="H7" s="68"/>
      <c r="I7" s="69"/>
      <c r="J7" s="69"/>
      <c r="K7" s="69"/>
      <c r="L7" s="69"/>
      <c r="M7" s="243"/>
      <c r="N7" s="65">
        <v>1</v>
      </c>
      <c r="O7" s="65">
        <v>2</v>
      </c>
    </row>
    <row r="8" spans="1:20" s="71" customFormat="1" ht="11.25">
      <c r="A8" s="63"/>
      <c r="B8" s="244" t="s">
        <v>56</v>
      </c>
      <c r="C8" s="102">
        <v>1100</v>
      </c>
      <c r="D8" s="103">
        <v>10</v>
      </c>
      <c r="E8" s="144">
        <f aca="true" t="shared" si="1" ref="E8:E17">60/D8</f>
        <v>6</v>
      </c>
      <c r="F8" s="220">
        <f aca="true" t="shared" si="2" ref="F8:F17">(C8*D8)/60</f>
        <v>183.33333333333334</v>
      </c>
      <c r="G8" s="226">
        <f aca="true" t="shared" si="3" ref="G8:G17">F8/$I$2</f>
        <v>1.2471655328798186</v>
      </c>
      <c r="H8" s="157">
        <f>'Cost Worksheet 2'!$F$7*G8</f>
        <v>2702.1919879062734</v>
      </c>
      <c r="I8" s="152">
        <f>('Cost Worksheet 2'!$H$16+'Cost Worksheet 2'!H20)*G8</f>
        <v>15848.979591836734</v>
      </c>
      <c r="J8" s="152">
        <f>'Cost Worksheet 2'!$H$26*G8</f>
        <v>660.8543800662028</v>
      </c>
      <c r="K8" s="152">
        <f>'Cost Worksheet 2'!$I$41*G8</f>
        <v>172.62382328167703</v>
      </c>
      <c r="L8" s="84">
        <f aca="true" t="shared" si="4" ref="L8:L17">SUM(H8:K8)</f>
        <v>19384.649783090885</v>
      </c>
      <c r="M8" s="245">
        <f aca="true" t="shared" si="5" ref="M8:M17">L8/C8</f>
        <v>17.622408893718987</v>
      </c>
      <c r="N8" s="64" t="e">
        <f>F8*#REF!</f>
        <v>#REF!</v>
      </c>
      <c r="O8" s="70"/>
      <c r="P8" s="63"/>
      <c r="Q8" s="63"/>
      <c r="R8" s="63"/>
      <c r="S8" s="63"/>
      <c r="T8" s="63"/>
    </row>
    <row r="9" spans="1:20" s="71" customFormat="1" ht="11.25">
      <c r="A9" s="141"/>
      <c r="B9" s="244" t="s">
        <v>57</v>
      </c>
      <c r="C9" s="102">
        <f>C8*15%</f>
        <v>165</v>
      </c>
      <c r="D9" s="103">
        <v>10</v>
      </c>
      <c r="E9" s="144">
        <f t="shared" si="1"/>
        <v>6</v>
      </c>
      <c r="F9" s="220">
        <f t="shared" si="2"/>
        <v>27.5</v>
      </c>
      <c r="G9" s="226">
        <f t="shared" si="3"/>
        <v>0.1870748299319728</v>
      </c>
      <c r="H9" s="152">
        <f>'Cost Worksheet 2'!$F$7*G9</f>
        <v>405.328798185941</v>
      </c>
      <c r="I9" s="152">
        <f>'Cost Worksheet 2'!$H$16*G9</f>
        <v>38.911564625850346</v>
      </c>
      <c r="J9" s="152">
        <f>'Cost Worksheet 2'!$H$26*G9</f>
        <v>99.12815700993042</v>
      </c>
      <c r="K9" s="152">
        <f>'Cost Worksheet 2'!$I$41*G9</f>
        <v>25.893573492251555</v>
      </c>
      <c r="L9" s="84">
        <f t="shared" si="4"/>
        <v>569.2620933139733</v>
      </c>
      <c r="M9" s="245">
        <f t="shared" si="5"/>
        <v>3.4500732928119593</v>
      </c>
      <c r="N9" s="64" t="e">
        <f>F9*#REF!</f>
        <v>#REF!</v>
      </c>
      <c r="O9" s="70"/>
      <c r="P9" s="63"/>
      <c r="Q9" s="63"/>
      <c r="R9" s="63"/>
      <c r="S9" s="63"/>
      <c r="T9" s="63"/>
    </row>
    <row r="10" spans="1:20" s="71" customFormat="1" ht="11.25">
      <c r="A10" s="63"/>
      <c r="B10" s="244" t="s">
        <v>58</v>
      </c>
      <c r="C10" s="104">
        <f>C8*10%</f>
        <v>110</v>
      </c>
      <c r="D10" s="103">
        <v>10</v>
      </c>
      <c r="E10" s="144">
        <f t="shared" si="1"/>
        <v>6</v>
      </c>
      <c r="F10" s="220">
        <f t="shared" si="2"/>
        <v>18.333333333333332</v>
      </c>
      <c r="G10" s="226">
        <f t="shared" si="3"/>
        <v>0.12471655328798185</v>
      </c>
      <c r="H10" s="152">
        <f>'Cost Worksheet 2'!$F$8*G10</f>
        <v>0</v>
      </c>
      <c r="I10" s="152">
        <f>'Cost Worksheet 2'!$H$16*G10</f>
        <v>25.941043083900226</v>
      </c>
      <c r="J10" s="152">
        <f>'Cost Worksheet 2'!$H$26*G10</f>
        <v>66.08543800662028</v>
      </c>
      <c r="K10" s="152">
        <f>'Cost Worksheet 2'!$I$41*G10</f>
        <v>17.262382328167703</v>
      </c>
      <c r="L10" s="84">
        <f t="shared" si="4"/>
        <v>109.28886341868821</v>
      </c>
      <c r="M10" s="245">
        <f t="shared" si="5"/>
        <v>0.9935351219880746</v>
      </c>
      <c r="N10" s="64" t="e">
        <f>F10*#REF!</f>
        <v>#REF!</v>
      </c>
      <c r="O10" s="70"/>
      <c r="P10" s="63"/>
      <c r="Q10" s="63"/>
      <c r="R10" s="63"/>
      <c r="S10" s="63"/>
      <c r="T10" s="63"/>
    </row>
    <row r="11" spans="1:20" s="71" customFormat="1" ht="11.25">
      <c r="A11" s="63"/>
      <c r="B11" s="244" t="s">
        <v>59</v>
      </c>
      <c r="C11" s="102">
        <v>409</v>
      </c>
      <c r="D11" s="103">
        <v>10</v>
      </c>
      <c r="E11" s="144">
        <f t="shared" si="1"/>
        <v>6</v>
      </c>
      <c r="F11" s="220">
        <f t="shared" si="2"/>
        <v>68.16666666666667</v>
      </c>
      <c r="G11" s="226">
        <f t="shared" si="3"/>
        <v>0.46371882086167804</v>
      </c>
      <c r="H11" s="152">
        <f>'Cost Worksheet 2'!$F$7*G11</f>
        <v>1004.724111866969</v>
      </c>
      <c r="I11" s="152">
        <f>'Cost Worksheet 2'!$H$16*G11</f>
        <v>96.45351473922904</v>
      </c>
      <c r="J11" s="152">
        <f>'Cost Worksheet 2'!$H$26*G11</f>
        <v>245.71767404279723</v>
      </c>
      <c r="K11" s="152">
        <f>'Cost Worksheet 2'!$I$41*G11</f>
        <v>64.18467611109628</v>
      </c>
      <c r="L11" s="84">
        <f t="shared" si="4"/>
        <v>1411.0799767600913</v>
      </c>
      <c r="M11" s="245">
        <f t="shared" si="5"/>
        <v>3.4500732928119593</v>
      </c>
      <c r="N11" s="64" t="e">
        <f>F11*#REF!</f>
        <v>#REF!</v>
      </c>
      <c r="O11" s="70"/>
      <c r="P11" s="63"/>
      <c r="Q11" s="63"/>
      <c r="R11" s="63"/>
      <c r="S11" s="63"/>
      <c r="T11" s="63"/>
    </row>
    <row r="12" spans="1:20" s="71" customFormat="1" ht="11.25">
      <c r="A12" s="63"/>
      <c r="B12" s="244" t="s">
        <v>60</v>
      </c>
      <c r="C12" s="104">
        <f>C11</f>
        <v>409</v>
      </c>
      <c r="D12" s="103">
        <v>10</v>
      </c>
      <c r="E12" s="144">
        <f t="shared" si="1"/>
        <v>6</v>
      </c>
      <c r="F12" s="220">
        <f t="shared" si="2"/>
        <v>68.16666666666667</v>
      </c>
      <c r="G12" s="226">
        <f t="shared" si="3"/>
        <v>0.46371882086167804</v>
      </c>
      <c r="H12" s="152">
        <f>'Cost Worksheet 2'!$F$8*G12</f>
        <v>0</v>
      </c>
      <c r="I12" s="152">
        <f>'Cost Worksheet 2'!$H$16*G12</f>
        <v>96.45351473922904</v>
      </c>
      <c r="J12" s="152">
        <f>'Cost Worksheet 2'!$H$26*G12</f>
        <v>245.71767404279723</v>
      </c>
      <c r="K12" s="152">
        <f>'Cost Worksheet 2'!$I$41*G12</f>
        <v>64.18467611109628</v>
      </c>
      <c r="L12" s="151">
        <f t="shared" si="4"/>
        <v>406.35586489312254</v>
      </c>
      <c r="M12" s="245">
        <f t="shared" si="5"/>
        <v>0.9935351219880747</v>
      </c>
      <c r="N12" s="64" t="e">
        <f>F12*#REF!</f>
        <v>#REF!</v>
      </c>
      <c r="O12" s="70"/>
      <c r="P12" s="63"/>
      <c r="Q12" s="63"/>
      <c r="R12" s="63"/>
      <c r="S12" s="63"/>
      <c r="T12" s="63"/>
    </row>
    <row r="13" spans="1:20" s="62" customFormat="1" ht="11.25">
      <c r="A13" s="65"/>
      <c r="B13" s="246" t="s">
        <v>61</v>
      </c>
      <c r="C13" s="102">
        <f>C14*50%</f>
        <v>193.5</v>
      </c>
      <c r="D13" s="103">
        <v>10</v>
      </c>
      <c r="E13" s="144">
        <f t="shared" si="1"/>
        <v>6</v>
      </c>
      <c r="F13" s="220">
        <f t="shared" si="2"/>
        <v>32.25</v>
      </c>
      <c r="G13" s="226">
        <f t="shared" si="3"/>
        <v>0.2193877551020408</v>
      </c>
      <c r="H13" s="153">
        <f>'Cost Worksheet 2'!$F$8*G13</f>
        <v>0</v>
      </c>
      <c r="I13" s="153">
        <f>'Cost Worksheet 2'!$H$16*G13</f>
        <v>45.63265306122449</v>
      </c>
      <c r="J13" s="154">
        <f>'Cost Worksheet 2'!$H$26*G13</f>
        <v>116.25029322073658</v>
      </c>
      <c r="K13" s="152">
        <f>'Cost Worksheet 2'!$I$41*G13</f>
        <v>30.366099822731368</v>
      </c>
      <c r="L13" s="84">
        <f t="shared" si="4"/>
        <v>192.24904610469244</v>
      </c>
      <c r="M13" s="245">
        <f t="shared" si="5"/>
        <v>0.9935351219880746</v>
      </c>
      <c r="N13" s="64" t="e">
        <f>F13*#REF!</f>
        <v>#REF!</v>
      </c>
      <c r="O13" s="72"/>
      <c r="P13" s="65"/>
      <c r="Q13" s="65"/>
      <c r="R13" s="65"/>
      <c r="S13" s="65"/>
      <c r="T13" s="65"/>
    </row>
    <row r="14" spans="1:20" s="62" customFormat="1" ht="12.75" customHeight="1">
      <c r="A14" s="65"/>
      <c r="B14" s="246" t="s">
        <v>62</v>
      </c>
      <c r="C14" s="102">
        <v>387</v>
      </c>
      <c r="D14" s="103">
        <v>10</v>
      </c>
      <c r="E14" s="144">
        <f t="shared" si="1"/>
        <v>6</v>
      </c>
      <c r="F14" s="220">
        <f t="shared" si="2"/>
        <v>64.5</v>
      </c>
      <c r="G14" s="226">
        <f t="shared" si="3"/>
        <v>0.4387755102040816</v>
      </c>
      <c r="H14" s="153">
        <f>'Cost Worksheet 2'!$F$8*G14</f>
        <v>0</v>
      </c>
      <c r="I14" s="153">
        <f>'Cost Worksheet 2'!$H$16*G14</f>
        <v>91.26530612244898</v>
      </c>
      <c r="J14" s="153">
        <f>'Cost Worksheet 2'!$H$26*G14</f>
        <v>232.50058644147316</v>
      </c>
      <c r="K14" s="152">
        <f>'Cost Worksheet 2'!$I$41*G14</f>
        <v>60.732199645462735</v>
      </c>
      <c r="L14" s="84">
        <f t="shared" si="4"/>
        <v>384.4980922093849</v>
      </c>
      <c r="M14" s="245">
        <f t="shared" si="5"/>
        <v>0.9935351219880746</v>
      </c>
      <c r="N14" s="64" t="e">
        <f>F14*#REF!</f>
        <v>#REF!</v>
      </c>
      <c r="O14" s="72"/>
      <c r="P14" s="65"/>
      <c r="Q14" s="65"/>
      <c r="R14" s="65"/>
      <c r="S14" s="65"/>
      <c r="T14" s="65"/>
    </row>
    <row r="15" spans="1:20" s="71" customFormat="1" ht="12.75" customHeight="1">
      <c r="A15" s="63"/>
      <c r="B15" s="244" t="s">
        <v>63</v>
      </c>
      <c r="C15" s="102">
        <v>276</v>
      </c>
      <c r="D15" s="103">
        <v>10</v>
      </c>
      <c r="E15" s="144">
        <f t="shared" si="1"/>
        <v>6</v>
      </c>
      <c r="F15" s="220">
        <f t="shared" si="2"/>
        <v>46</v>
      </c>
      <c r="G15" s="226">
        <f t="shared" si="3"/>
        <v>0.3129251700680272</v>
      </c>
      <c r="H15" s="152">
        <f>'Cost Worksheet 2'!$F$8*G15</f>
        <v>0</v>
      </c>
      <c r="I15" s="152">
        <f>'Cost Worksheet 2'!$H$16*G15</f>
        <v>65.08843537414967</v>
      </c>
      <c r="J15" s="152">
        <f>'Cost Worksheet 2'!$H$26*G15</f>
        <v>165.8143717257018</v>
      </c>
      <c r="K15" s="152">
        <f>'Cost Worksheet 2'!$I$41*G15</f>
        <v>43.312886568857145</v>
      </c>
      <c r="L15" s="84">
        <f t="shared" si="4"/>
        <v>274.2156936687086</v>
      </c>
      <c r="M15" s="245">
        <f t="shared" si="5"/>
        <v>0.9935351219880746</v>
      </c>
      <c r="N15" s="64" t="e">
        <f>F15*#REF!</f>
        <v>#REF!</v>
      </c>
      <c r="O15" s="70"/>
      <c r="P15" s="63"/>
      <c r="Q15" s="63"/>
      <c r="R15" s="63"/>
      <c r="S15" s="63"/>
      <c r="T15" s="63"/>
    </row>
    <row r="16" spans="1:20" s="62" customFormat="1" ht="12.75" customHeight="1">
      <c r="A16" s="65"/>
      <c r="B16" s="246" t="s">
        <v>64</v>
      </c>
      <c r="C16" s="102">
        <v>10</v>
      </c>
      <c r="D16" s="103">
        <v>10</v>
      </c>
      <c r="E16" s="144">
        <f t="shared" si="1"/>
        <v>6</v>
      </c>
      <c r="F16" s="220">
        <f t="shared" si="2"/>
        <v>1.6666666666666667</v>
      </c>
      <c r="G16" s="226">
        <f t="shared" si="3"/>
        <v>0.011337868480725623</v>
      </c>
      <c r="H16" s="153">
        <f>'Cost Worksheet 2'!$F$8*G16</f>
        <v>0</v>
      </c>
      <c r="I16" s="153">
        <f>'Cost Worksheet 2'!$H$16*G16</f>
        <v>2.3582766439909295</v>
      </c>
      <c r="J16" s="153">
        <f>'Cost Worksheet 2'!$H$26*G16</f>
        <v>6.007767091510934</v>
      </c>
      <c r="K16" s="152">
        <f>'Cost Worksheet 2'!$I$41*G16</f>
        <v>1.5693074843788821</v>
      </c>
      <c r="L16" s="84">
        <f t="shared" si="4"/>
        <v>9.935351219880745</v>
      </c>
      <c r="M16" s="245">
        <f t="shared" si="5"/>
        <v>0.9935351219880746</v>
      </c>
      <c r="N16" s="64" t="e">
        <f>F16*#REF!</f>
        <v>#REF!</v>
      </c>
      <c r="O16" s="72"/>
      <c r="P16" s="65"/>
      <c r="Q16" s="65"/>
      <c r="R16" s="65"/>
      <c r="S16" s="65"/>
      <c r="T16" s="65"/>
    </row>
    <row r="17" spans="1:20" s="62" customFormat="1" ht="12.75" customHeight="1">
      <c r="A17" s="65"/>
      <c r="B17" s="246" t="s">
        <v>65</v>
      </c>
      <c r="C17" s="102">
        <f>(C14+C15)*10%</f>
        <v>66.3</v>
      </c>
      <c r="D17" s="103">
        <v>10</v>
      </c>
      <c r="E17" s="144">
        <f t="shared" si="1"/>
        <v>6</v>
      </c>
      <c r="F17" s="220">
        <f t="shared" si="2"/>
        <v>11.05</v>
      </c>
      <c r="G17" s="226">
        <f t="shared" si="3"/>
        <v>0.07517006802721089</v>
      </c>
      <c r="H17" s="153">
        <f>'Cost Worksheet 2'!$F$8*G17</f>
        <v>0</v>
      </c>
      <c r="I17" s="153">
        <f>'Cost Worksheet 2'!$H$16*G17</f>
        <v>15.635374149659865</v>
      </c>
      <c r="J17" s="153">
        <f>'Cost Worksheet 2'!$H$26*G17</f>
        <v>39.8314958167175</v>
      </c>
      <c r="K17" s="152">
        <f>'Cost Worksheet 2'!$I$41*G17</f>
        <v>10.40450862143199</v>
      </c>
      <c r="L17" s="84">
        <f t="shared" si="4"/>
        <v>65.87137858780936</v>
      </c>
      <c r="M17" s="245">
        <f t="shared" si="5"/>
        <v>0.9935351219880748</v>
      </c>
      <c r="N17" s="64" t="e">
        <f>F17*#REF!</f>
        <v>#REF!</v>
      </c>
      <c r="O17" s="72"/>
      <c r="P17" s="65"/>
      <c r="Q17" s="65"/>
      <c r="R17" s="65"/>
      <c r="S17" s="65"/>
      <c r="T17" s="65"/>
    </row>
    <row r="18" spans="2:15" ht="19.5" customHeight="1">
      <c r="B18" s="159" t="s">
        <v>52</v>
      </c>
      <c r="C18" s="107"/>
      <c r="D18" s="105"/>
      <c r="E18" s="146"/>
      <c r="F18" s="219">
        <f>SUM(F19:F28)</f>
        <v>81.8333333333333</v>
      </c>
      <c r="G18" s="225">
        <f>SUM(G19:G28)</f>
        <v>0.556689342403628</v>
      </c>
      <c r="H18" s="155"/>
      <c r="I18" s="156"/>
      <c r="J18" s="156"/>
      <c r="K18" s="156"/>
      <c r="L18" s="75"/>
      <c r="M18" s="247"/>
      <c r="O18" s="72"/>
    </row>
    <row r="19" spans="1:20" s="62" customFormat="1" ht="11.25">
      <c r="A19" s="65"/>
      <c r="B19" s="244" t="s">
        <v>56</v>
      </c>
      <c r="C19" s="106">
        <v>1</v>
      </c>
      <c r="D19" s="103">
        <v>10</v>
      </c>
      <c r="E19" s="144">
        <f aca="true" t="shared" si="6" ref="E19:E28">60/D19</f>
        <v>6</v>
      </c>
      <c r="F19" s="220">
        <f aca="true" t="shared" si="7" ref="F19:F28">(C19*D19)/60</f>
        <v>0.16666666666666666</v>
      </c>
      <c r="G19" s="226">
        <f aca="true" t="shared" si="8" ref="G19:G28">F19/$I$2</f>
        <v>0.0011337868480725624</v>
      </c>
      <c r="H19" s="153">
        <f>'Cost Worksheet 2'!$F$8*G19</f>
        <v>0</v>
      </c>
      <c r="I19" s="153">
        <f>'Cost Worksheet 2'!$H$16*G19</f>
        <v>0.23582766439909297</v>
      </c>
      <c r="J19" s="153">
        <f>'Cost Worksheet 2'!$H$26*G19</f>
        <v>0.6007767091510935</v>
      </c>
      <c r="K19" s="153">
        <f>'Cost Worksheet 2'!$I$41*G19</f>
        <v>0.1569307484378882</v>
      </c>
      <c r="L19" s="85">
        <f>SUM(H19:K19)</f>
        <v>0.9935351219880747</v>
      </c>
      <c r="M19" s="248">
        <f>L19/C19</f>
        <v>0.9935351219880747</v>
      </c>
      <c r="N19" s="65"/>
      <c r="O19" s="64" t="e">
        <f>F19*#REF!</f>
        <v>#REF!</v>
      </c>
      <c r="P19" s="65"/>
      <c r="Q19" s="65"/>
      <c r="R19" s="65"/>
      <c r="S19" s="65"/>
      <c r="T19" s="65"/>
    </row>
    <row r="20" spans="1:20" s="62" customFormat="1" ht="11.25">
      <c r="A20" s="65"/>
      <c r="B20" s="244" t="s">
        <v>57</v>
      </c>
      <c r="C20" s="106">
        <f>20</f>
        <v>20</v>
      </c>
      <c r="D20" s="103">
        <v>10</v>
      </c>
      <c r="E20" s="144">
        <f t="shared" si="6"/>
        <v>6</v>
      </c>
      <c r="F20" s="220">
        <f t="shared" si="7"/>
        <v>3.3333333333333335</v>
      </c>
      <c r="G20" s="226">
        <f t="shared" si="8"/>
        <v>0.022675736961451247</v>
      </c>
      <c r="H20" s="153">
        <f>'Cost Worksheet 2'!$F$8*G20</f>
        <v>0</v>
      </c>
      <c r="I20" s="153">
        <f>'Cost Worksheet 2'!$H$16*G20</f>
        <v>4.716553287981859</v>
      </c>
      <c r="J20" s="153">
        <f>'Cost Worksheet 2'!$H$26*G20</f>
        <v>12.015534183021868</v>
      </c>
      <c r="K20" s="153">
        <f>'Cost Worksheet 2'!$I$41*G20</f>
        <v>3.1386149687577642</v>
      </c>
      <c r="L20" s="85">
        <f aca="true" t="shared" si="9" ref="L20:L28">SUM(H20:K20)</f>
        <v>19.87070243976149</v>
      </c>
      <c r="M20" s="248">
        <f aca="true" t="shared" si="10" ref="M20:M28">L20/C20</f>
        <v>0.9935351219880746</v>
      </c>
      <c r="N20" s="65"/>
      <c r="O20" s="64" t="e">
        <f>F20*#REF!</f>
        <v>#REF!</v>
      </c>
      <c r="P20" s="65"/>
      <c r="Q20" s="65"/>
      <c r="R20" s="65"/>
      <c r="S20" s="65"/>
      <c r="T20" s="65"/>
    </row>
    <row r="21" spans="1:20" s="62" customFormat="1" ht="11.25">
      <c r="A21" s="142"/>
      <c r="B21" s="244" t="s">
        <v>58</v>
      </c>
      <c r="C21" s="102">
        <f>C20*3</f>
        <v>60</v>
      </c>
      <c r="D21" s="103">
        <v>10</v>
      </c>
      <c r="E21" s="144">
        <f t="shared" si="6"/>
        <v>6</v>
      </c>
      <c r="F21" s="220">
        <f t="shared" si="7"/>
        <v>10</v>
      </c>
      <c r="G21" s="226">
        <f t="shared" si="8"/>
        <v>0.06802721088435375</v>
      </c>
      <c r="H21" s="153">
        <f>'Cost Worksheet 2'!$F$8*G21</f>
        <v>0</v>
      </c>
      <c r="I21" s="153">
        <f>'Cost Worksheet 2'!$H$16*G21</f>
        <v>14.14965986394558</v>
      </c>
      <c r="J21" s="153">
        <f>'Cost Worksheet 2'!$H$26*G21</f>
        <v>36.04660254906561</v>
      </c>
      <c r="K21" s="153">
        <f>'Cost Worksheet 2'!$I$41*G21</f>
        <v>9.415844906273293</v>
      </c>
      <c r="L21" s="85">
        <f t="shared" si="9"/>
        <v>59.61210731928448</v>
      </c>
      <c r="M21" s="248">
        <f t="shared" si="10"/>
        <v>0.9935351219880747</v>
      </c>
      <c r="N21" s="65"/>
      <c r="O21" s="64" t="e">
        <f>F21*#REF!</f>
        <v>#REF!</v>
      </c>
      <c r="P21" s="65"/>
      <c r="Q21" s="65"/>
      <c r="R21" s="65"/>
      <c r="S21" s="65"/>
      <c r="T21" s="65"/>
    </row>
    <row r="22" spans="1:20" s="62" customFormat="1" ht="11.25">
      <c r="A22" s="65"/>
      <c r="B22" s="244" t="s">
        <v>59</v>
      </c>
      <c r="C22" s="102">
        <f>C21</f>
        <v>60</v>
      </c>
      <c r="D22" s="103">
        <v>10</v>
      </c>
      <c r="E22" s="144">
        <f t="shared" si="6"/>
        <v>6</v>
      </c>
      <c r="F22" s="220">
        <f t="shared" si="7"/>
        <v>10</v>
      </c>
      <c r="G22" s="226">
        <f t="shared" si="8"/>
        <v>0.06802721088435375</v>
      </c>
      <c r="H22" s="153">
        <f>'Cost Worksheet 2'!$F$8*G22</f>
        <v>0</v>
      </c>
      <c r="I22" s="153">
        <f>'Cost Worksheet 2'!$H$16*G22</f>
        <v>14.14965986394558</v>
      </c>
      <c r="J22" s="153">
        <f>'Cost Worksheet 2'!$H$26*G22</f>
        <v>36.04660254906561</v>
      </c>
      <c r="K22" s="153">
        <f>'Cost Worksheet 2'!$I$41*G22</f>
        <v>9.415844906273293</v>
      </c>
      <c r="L22" s="85">
        <f t="shared" si="9"/>
        <v>59.61210731928448</v>
      </c>
      <c r="M22" s="248">
        <f t="shared" si="10"/>
        <v>0.9935351219880747</v>
      </c>
      <c r="N22" s="65"/>
      <c r="O22" s="64" t="e">
        <f>F22*#REF!</f>
        <v>#REF!</v>
      </c>
      <c r="P22" s="65"/>
      <c r="Q22" s="65"/>
      <c r="R22" s="65"/>
      <c r="S22" s="65"/>
      <c r="T22" s="65"/>
    </row>
    <row r="23" spans="1:20" s="62" customFormat="1" ht="11.25">
      <c r="A23" s="65"/>
      <c r="B23" s="244" t="s">
        <v>60</v>
      </c>
      <c r="C23" s="102">
        <v>250</v>
      </c>
      <c r="D23" s="103">
        <v>10</v>
      </c>
      <c r="E23" s="144">
        <f t="shared" si="6"/>
        <v>6</v>
      </c>
      <c r="F23" s="220">
        <f t="shared" si="7"/>
        <v>41.666666666666664</v>
      </c>
      <c r="G23" s="226">
        <f t="shared" si="8"/>
        <v>0.2834467120181406</v>
      </c>
      <c r="H23" s="153">
        <f>'Cost Worksheet 2'!$F$8*G23</f>
        <v>0</v>
      </c>
      <c r="I23" s="153">
        <f>'Cost Worksheet 2'!$H$16*G23</f>
        <v>58.956916099773245</v>
      </c>
      <c r="J23" s="153">
        <f>'Cost Worksheet 2'!$H$26*G23</f>
        <v>150.19417728777336</v>
      </c>
      <c r="K23" s="153">
        <f>'Cost Worksheet 2'!$I$41*G23</f>
        <v>39.23268710947205</v>
      </c>
      <c r="L23" s="85">
        <f t="shared" si="9"/>
        <v>248.38378049701868</v>
      </c>
      <c r="M23" s="248">
        <f t="shared" si="10"/>
        <v>0.9935351219880747</v>
      </c>
      <c r="N23" s="65"/>
      <c r="O23" s="64" t="e">
        <f>F23*#REF!</f>
        <v>#REF!</v>
      </c>
      <c r="P23" s="65"/>
      <c r="Q23" s="65"/>
      <c r="R23" s="65"/>
      <c r="S23" s="65"/>
      <c r="T23" s="65"/>
    </row>
    <row r="24" spans="1:20" s="62" customFormat="1" ht="11.25">
      <c r="A24" s="65"/>
      <c r="B24" s="246" t="s">
        <v>61</v>
      </c>
      <c r="C24" s="102">
        <f>C20</f>
        <v>20</v>
      </c>
      <c r="D24" s="103">
        <v>10</v>
      </c>
      <c r="E24" s="144">
        <f t="shared" si="6"/>
        <v>6</v>
      </c>
      <c r="F24" s="220">
        <f t="shared" si="7"/>
        <v>3.3333333333333335</v>
      </c>
      <c r="G24" s="226">
        <f t="shared" si="8"/>
        <v>0.022675736961451247</v>
      </c>
      <c r="H24" s="153">
        <f>'Cost Worksheet 2'!$F$8*G24</f>
        <v>0</v>
      </c>
      <c r="I24" s="153">
        <f>'Cost Worksheet 2'!$H$16*G24</f>
        <v>4.716553287981859</v>
      </c>
      <c r="J24" s="153">
        <f>'Cost Worksheet 2'!$H$26*G24</f>
        <v>12.015534183021868</v>
      </c>
      <c r="K24" s="153">
        <f>'Cost Worksheet 2'!$I$41*G24</f>
        <v>3.1386149687577642</v>
      </c>
      <c r="L24" s="85">
        <f t="shared" si="9"/>
        <v>19.87070243976149</v>
      </c>
      <c r="M24" s="248">
        <f t="shared" si="10"/>
        <v>0.9935351219880746</v>
      </c>
      <c r="N24" s="65"/>
      <c r="O24" s="64" t="e">
        <f>F24*#REF!</f>
        <v>#REF!</v>
      </c>
      <c r="P24" s="65"/>
      <c r="Q24" s="65"/>
      <c r="R24" s="65"/>
      <c r="S24" s="65"/>
      <c r="T24" s="65"/>
    </row>
    <row r="25" spans="1:20" s="62" customFormat="1" ht="11.25">
      <c r="A25" s="65"/>
      <c r="B25" s="246" t="s">
        <v>62</v>
      </c>
      <c r="C25" s="102">
        <f>C20</f>
        <v>20</v>
      </c>
      <c r="D25" s="103">
        <v>10</v>
      </c>
      <c r="E25" s="144">
        <f t="shared" si="6"/>
        <v>6</v>
      </c>
      <c r="F25" s="220">
        <f t="shared" si="7"/>
        <v>3.3333333333333335</v>
      </c>
      <c r="G25" s="226">
        <f t="shared" si="8"/>
        <v>0.022675736961451247</v>
      </c>
      <c r="H25" s="153">
        <f>'Cost Worksheet 2'!$F$8*G25</f>
        <v>0</v>
      </c>
      <c r="I25" s="153">
        <f>'Cost Worksheet 2'!$H$16*G25</f>
        <v>4.716553287981859</v>
      </c>
      <c r="J25" s="153">
        <f>'Cost Worksheet 2'!$H$26*G25</f>
        <v>12.015534183021868</v>
      </c>
      <c r="K25" s="153">
        <f>'Cost Worksheet 2'!$I$41*G25</f>
        <v>3.1386149687577642</v>
      </c>
      <c r="L25" s="85">
        <f t="shared" si="9"/>
        <v>19.87070243976149</v>
      </c>
      <c r="M25" s="248">
        <f t="shared" si="10"/>
        <v>0.9935351219880746</v>
      </c>
      <c r="N25" s="65"/>
      <c r="O25" s="64" t="e">
        <f>F25*#REF!</f>
        <v>#REF!</v>
      </c>
      <c r="P25" s="65"/>
      <c r="Q25" s="65"/>
      <c r="R25" s="65"/>
      <c r="S25" s="65"/>
      <c r="T25" s="65"/>
    </row>
    <row r="26" spans="1:20" s="62" customFormat="1" ht="11.25">
      <c r="A26" s="65"/>
      <c r="B26" s="244" t="s">
        <v>63</v>
      </c>
      <c r="C26" s="102">
        <f>C20</f>
        <v>20</v>
      </c>
      <c r="D26" s="103">
        <v>10</v>
      </c>
      <c r="E26" s="144">
        <f t="shared" si="6"/>
        <v>6</v>
      </c>
      <c r="F26" s="220">
        <f t="shared" si="7"/>
        <v>3.3333333333333335</v>
      </c>
      <c r="G26" s="226">
        <f t="shared" si="8"/>
        <v>0.022675736961451247</v>
      </c>
      <c r="H26" s="153">
        <f>'Cost Worksheet 2'!$F$8*G26</f>
        <v>0</v>
      </c>
      <c r="I26" s="153">
        <f>'Cost Worksheet 2'!$H$16*G26</f>
        <v>4.716553287981859</v>
      </c>
      <c r="J26" s="153">
        <f>'Cost Worksheet 2'!$H$26*G26</f>
        <v>12.015534183021868</v>
      </c>
      <c r="K26" s="153">
        <f>'Cost Worksheet 2'!$I$41*G26</f>
        <v>3.1386149687577642</v>
      </c>
      <c r="L26" s="85">
        <f t="shared" si="9"/>
        <v>19.87070243976149</v>
      </c>
      <c r="M26" s="248">
        <f t="shared" si="10"/>
        <v>0.9935351219880746</v>
      </c>
      <c r="N26" s="65"/>
      <c r="O26" s="64" t="e">
        <f>F26*#REF!</f>
        <v>#REF!</v>
      </c>
      <c r="P26" s="65"/>
      <c r="Q26" s="65"/>
      <c r="R26" s="65"/>
      <c r="S26" s="65"/>
      <c r="T26" s="65"/>
    </row>
    <row r="27" spans="1:20" s="71" customFormat="1" ht="11.25">
      <c r="A27" s="63"/>
      <c r="B27" s="246" t="s">
        <v>64</v>
      </c>
      <c r="C27" s="102">
        <v>20</v>
      </c>
      <c r="D27" s="103">
        <v>10</v>
      </c>
      <c r="E27" s="144">
        <f t="shared" si="6"/>
        <v>6</v>
      </c>
      <c r="F27" s="220">
        <f t="shared" si="7"/>
        <v>3.3333333333333335</v>
      </c>
      <c r="G27" s="226">
        <f t="shared" si="8"/>
        <v>0.022675736961451247</v>
      </c>
      <c r="H27" s="152">
        <f>'Cost Worksheet 2'!$F$8*G27</f>
        <v>0</v>
      </c>
      <c r="I27" s="152">
        <f>'Cost Worksheet 2'!$H$16*G27</f>
        <v>4.716553287981859</v>
      </c>
      <c r="J27" s="152">
        <f>'Cost Worksheet 2'!$H$26*G27</f>
        <v>12.015534183021868</v>
      </c>
      <c r="K27" s="153">
        <f>'Cost Worksheet 2'!$I$41*G27</f>
        <v>3.1386149687577642</v>
      </c>
      <c r="L27" s="85">
        <f t="shared" si="9"/>
        <v>19.87070243976149</v>
      </c>
      <c r="M27" s="248">
        <f t="shared" si="10"/>
        <v>0.9935351219880746</v>
      </c>
      <c r="N27" s="63"/>
      <c r="O27" s="64" t="e">
        <f>F27*#REF!</f>
        <v>#REF!</v>
      </c>
      <c r="P27" s="63"/>
      <c r="Q27" s="63"/>
      <c r="R27" s="63"/>
      <c r="S27" s="63"/>
      <c r="T27" s="63"/>
    </row>
    <row r="28" spans="1:20" s="62" customFormat="1" ht="11.25">
      <c r="A28" s="65"/>
      <c r="B28" s="246" t="s">
        <v>65</v>
      </c>
      <c r="C28" s="102">
        <f>C27</f>
        <v>20</v>
      </c>
      <c r="D28" s="103">
        <v>10</v>
      </c>
      <c r="E28" s="144">
        <f t="shared" si="6"/>
        <v>6</v>
      </c>
      <c r="F28" s="220">
        <f t="shared" si="7"/>
        <v>3.3333333333333335</v>
      </c>
      <c r="G28" s="226">
        <f t="shared" si="8"/>
        <v>0.022675736961451247</v>
      </c>
      <c r="H28" s="153">
        <f>'Cost Worksheet 2'!$F$8*G28</f>
        <v>0</v>
      </c>
      <c r="I28" s="153">
        <f>'Cost Worksheet 2'!$H$16*G28</f>
        <v>4.716553287981859</v>
      </c>
      <c r="J28" s="153">
        <f>'Cost Worksheet 2'!$H$26*G28</f>
        <v>12.015534183021868</v>
      </c>
      <c r="K28" s="153">
        <f>'Cost Worksheet 2'!$I$41*G28</f>
        <v>3.1386149687577642</v>
      </c>
      <c r="L28" s="85">
        <f t="shared" si="9"/>
        <v>19.87070243976149</v>
      </c>
      <c r="M28" s="248">
        <f t="shared" si="10"/>
        <v>0.9935351219880746</v>
      </c>
      <c r="N28" s="65"/>
      <c r="O28" s="64" t="e">
        <f>F28*#REF!</f>
        <v>#REF!</v>
      </c>
      <c r="P28" s="65"/>
      <c r="Q28" s="65"/>
      <c r="R28" s="65"/>
      <c r="S28" s="65"/>
      <c r="T28" s="65"/>
    </row>
    <row r="29" spans="2:15" ht="19.5" customHeight="1">
      <c r="B29" s="161" t="s">
        <v>53</v>
      </c>
      <c r="C29" s="73"/>
      <c r="D29" s="74"/>
      <c r="E29" s="146"/>
      <c r="F29" s="219">
        <f>SUM(F30:F39)</f>
        <v>1615.1666666666667</v>
      </c>
      <c r="G29" s="225">
        <f>SUM(G30:G39)</f>
        <v>10.987528344671201</v>
      </c>
      <c r="H29" s="155"/>
      <c r="I29" s="156"/>
      <c r="J29" s="156"/>
      <c r="K29" s="156"/>
      <c r="L29" s="75"/>
      <c r="M29" s="247"/>
      <c r="O29" s="64"/>
    </row>
    <row r="30" spans="1:20" s="62" customFormat="1" ht="11.25">
      <c r="A30" s="142"/>
      <c r="B30" s="244" t="s">
        <v>56</v>
      </c>
      <c r="C30" s="106">
        <v>1</v>
      </c>
      <c r="D30" s="103">
        <v>10</v>
      </c>
      <c r="E30" s="145">
        <f aca="true" t="shared" si="11" ref="E30:E39">60/D30</f>
        <v>6</v>
      </c>
      <c r="F30" s="220">
        <f aca="true" t="shared" si="12" ref="F30:F39">(C30*D30)/60</f>
        <v>0.16666666666666666</v>
      </c>
      <c r="G30" s="226">
        <f aca="true" t="shared" si="13" ref="G30:G39">F30/$I$2</f>
        <v>0.0011337868480725624</v>
      </c>
      <c r="H30" s="153">
        <f>'Cost Worksheet 2'!$F$8*G30</f>
        <v>0</v>
      </c>
      <c r="I30" s="153">
        <f>'Cost Worksheet 2'!$H$16*G30</f>
        <v>0.23582766439909297</v>
      </c>
      <c r="J30" s="153">
        <f>'Cost Worksheet 2'!$H$26*G30</f>
        <v>0.6007767091510935</v>
      </c>
      <c r="K30" s="153">
        <f>'Cost Worksheet 2'!$I$41*G30</f>
        <v>0.1569307484378882</v>
      </c>
      <c r="L30" s="85">
        <f>SUM(H30:K30)</f>
        <v>0.9935351219880747</v>
      </c>
      <c r="M30" s="248">
        <f>L30/C30</f>
        <v>0.9935351219880747</v>
      </c>
      <c r="N30" s="65"/>
      <c r="O30" s="64" t="e">
        <f>F30*#REF!</f>
        <v>#REF!</v>
      </c>
      <c r="P30" s="65"/>
      <c r="Q30" s="65"/>
      <c r="R30" s="65"/>
      <c r="S30" s="65"/>
      <c r="T30" s="65"/>
    </row>
    <row r="31" spans="1:20" s="62" customFormat="1" ht="11.25">
      <c r="A31" s="65"/>
      <c r="B31" s="244" t="s">
        <v>57</v>
      </c>
      <c r="C31" s="102">
        <v>1700</v>
      </c>
      <c r="D31" s="103">
        <v>10</v>
      </c>
      <c r="E31" s="145">
        <f t="shared" si="11"/>
        <v>6</v>
      </c>
      <c r="F31" s="220">
        <f t="shared" si="12"/>
        <v>283.3333333333333</v>
      </c>
      <c r="G31" s="226">
        <f t="shared" si="13"/>
        <v>1.9274376417233559</v>
      </c>
      <c r="H31" s="153">
        <f>'Cost Worksheet 2'!$F$8*G31</f>
        <v>0</v>
      </c>
      <c r="I31" s="153">
        <f>'Cost Worksheet 2'!$H$16*G31</f>
        <v>400.907029478458</v>
      </c>
      <c r="J31" s="153">
        <f>'Cost Worksheet 2'!$H$26*G31</f>
        <v>1021.3204055568588</v>
      </c>
      <c r="K31" s="153">
        <f>'Cost Worksheet 2'!$I$41*G31</f>
        <v>266.78227234440993</v>
      </c>
      <c r="L31" s="85">
        <f aca="true" t="shared" si="14" ref="L31:L39">SUM(H31:K31)</f>
        <v>1689.0097073797267</v>
      </c>
      <c r="M31" s="248">
        <f aca="true" t="shared" si="15" ref="M31:M39">L31/C31</f>
        <v>0.9935351219880746</v>
      </c>
      <c r="N31" s="65"/>
      <c r="O31" s="64" t="e">
        <f>F31*#REF!</f>
        <v>#REF!</v>
      </c>
      <c r="P31" s="65"/>
      <c r="Q31" s="65"/>
      <c r="R31" s="65"/>
      <c r="S31" s="65"/>
      <c r="T31" s="65"/>
    </row>
    <row r="32" spans="1:20" s="62" customFormat="1" ht="11.25">
      <c r="A32" s="65"/>
      <c r="B32" s="244" t="s">
        <v>58</v>
      </c>
      <c r="C32" s="102">
        <f>C31*40%</f>
        <v>680</v>
      </c>
      <c r="D32" s="103">
        <v>10</v>
      </c>
      <c r="E32" s="145">
        <f t="shared" si="11"/>
        <v>6</v>
      </c>
      <c r="F32" s="220">
        <f t="shared" si="12"/>
        <v>113.33333333333333</v>
      </c>
      <c r="G32" s="226">
        <f t="shared" si="13"/>
        <v>0.7709750566893424</v>
      </c>
      <c r="H32" s="153">
        <f>'Cost Worksheet 2'!$F$8*G32</f>
        <v>0</v>
      </c>
      <c r="I32" s="153">
        <f>'Cost Worksheet 2'!$H$16*G32</f>
        <v>160.36281179138322</v>
      </c>
      <c r="J32" s="153">
        <f>'Cost Worksheet 2'!$H$26*G32</f>
        <v>408.52816222274356</v>
      </c>
      <c r="K32" s="153">
        <f>'Cost Worksheet 2'!$I$41*G32</f>
        <v>106.71290893776398</v>
      </c>
      <c r="L32" s="85">
        <f t="shared" si="14"/>
        <v>675.6038829518907</v>
      </c>
      <c r="M32" s="248">
        <f t="shared" si="15"/>
        <v>0.9935351219880746</v>
      </c>
      <c r="N32" s="65"/>
      <c r="O32" s="64" t="e">
        <f>F32*#REF!</f>
        <v>#REF!</v>
      </c>
      <c r="P32" s="65"/>
      <c r="Q32" s="65"/>
      <c r="R32" s="65"/>
      <c r="S32" s="65"/>
      <c r="T32" s="65"/>
    </row>
    <row r="33" spans="1:20" s="62" customFormat="1" ht="11.25">
      <c r="A33" s="65"/>
      <c r="B33" s="244" t="s">
        <v>59</v>
      </c>
      <c r="C33" s="102">
        <f>C32*25%</f>
        <v>170</v>
      </c>
      <c r="D33" s="103">
        <v>10</v>
      </c>
      <c r="E33" s="145">
        <f t="shared" si="11"/>
        <v>6</v>
      </c>
      <c r="F33" s="220">
        <f t="shared" si="12"/>
        <v>28.333333333333332</v>
      </c>
      <c r="G33" s="226">
        <f t="shared" si="13"/>
        <v>0.1927437641723356</v>
      </c>
      <c r="H33" s="153">
        <f>'Cost Worksheet 2'!$F$8*G33</f>
        <v>0</v>
      </c>
      <c r="I33" s="153">
        <f>'Cost Worksheet 2'!$H$16*G33</f>
        <v>40.090702947845806</v>
      </c>
      <c r="J33" s="153">
        <f>'Cost Worksheet 2'!$H$26*G33</f>
        <v>102.13204055568589</v>
      </c>
      <c r="K33" s="153">
        <f>'Cost Worksheet 2'!$I$41*G33</f>
        <v>26.678227234440996</v>
      </c>
      <c r="L33" s="85">
        <f t="shared" si="14"/>
        <v>168.90097073797267</v>
      </c>
      <c r="M33" s="248">
        <f t="shared" si="15"/>
        <v>0.9935351219880746</v>
      </c>
      <c r="N33" s="65"/>
      <c r="O33" s="64" t="e">
        <f>F33*#REF!</f>
        <v>#REF!</v>
      </c>
      <c r="P33" s="65"/>
      <c r="Q33" s="65"/>
      <c r="R33" s="65"/>
      <c r="S33" s="65"/>
      <c r="T33" s="65"/>
    </row>
    <row r="34" spans="1:20" s="62" customFormat="1" ht="11.25">
      <c r="A34" s="65"/>
      <c r="B34" s="244" t="s">
        <v>60</v>
      </c>
      <c r="C34" s="102">
        <f>C31</f>
        <v>1700</v>
      </c>
      <c r="D34" s="103">
        <v>10</v>
      </c>
      <c r="E34" s="145">
        <f t="shared" si="11"/>
        <v>6</v>
      </c>
      <c r="F34" s="220">
        <f t="shared" si="12"/>
        <v>283.3333333333333</v>
      </c>
      <c r="G34" s="226">
        <f t="shared" si="13"/>
        <v>1.9274376417233559</v>
      </c>
      <c r="H34" s="153">
        <f>'Cost Worksheet 2'!$F$8*G34</f>
        <v>0</v>
      </c>
      <c r="I34" s="153">
        <f>'Cost Worksheet 2'!$H$16*G34</f>
        <v>400.907029478458</v>
      </c>
      <c r="J34" s="153">
        <f>'Cost Worksheet 2'!$H$26*G34</f>
        <v>1021.3204055568588</v>
      </c>
      <c r="K34" s="153">
        <f>'Cost Worksheet 2'!$I$41*G34</f>
        <v>266.78227234440993</v>
      </c>
      <c r="L34" s="85">
        <f>SUM(H34:K34)</f>
        <v>1689.0097073797267</v>
      </c>
      <c r="M34" s="248">
        <f>L34/C34</f>
        <v>0.9935351219880746</v>
      </c>
      <c r="N34" s="65"/>
      <c r="O34" s="64" t="e">
        <f>F34*#REF!</f>
        <v>#REF!</v>
      </c>
      <c r="P34" s="65"/>
      <c r="Q34" s="65"/>
      <c r="R34" s="65"/>
      <c r="S34" s="65"/>
      <c r="T34" s="65"/>
    </row>
    <row r="35" spans="1:20" s="62" customFormat="1" ht="11.25">
      <c r="A35" s="65"/>
      <c r="B35" s="246" t="s">
        <v>61</v>
      </c>
      <c r="C35" s="102">
        <f>C31-C33</f>
        <v>1530</v>
      </c>
      <c r="D35" s="103">
        <v>10</v>
      </c>
      <c r="E35" s="145">
        <f t="shared" si="11"/>
        <v>6</v>
      </c>
      <c r="F35" s="220">
        <f t="shared" si="12"/>
        <v>255</v>
      </c>
      <c r="G35" s="226">
        <f t="shared" si="13"/>
        <v>1.7346938775510203</v>
      </c>
      <c r="H35" s="153">
        <f>'Cost Worksheet 2'!$F$8*G35</f>
        <v>0</v>
      </c>
      <c r="I35" s="153">
        <f>'Cost Worksheet 2'!$H$16*G35</f>
        <v>360.81632653061223</v>
      </c>
      <c r="J35" s="153">
        <f>'Cost Worksheet 2'!$H$26*G35</f>
        <v>919.1883650011729</v>
      </c>
      <c r="K35" s="153">
        <f>'Cost Worksheet 2'!$I$41*G35</f>
        <v>240.10404510996895</v>
      </c>
      <c r="L35" s="85">
        <f t="shared" si="14"/>
        <v>1520.108736641754</v>
      </c>
      <c r="M35" s="248">
        <f t="shared" si="15"/>
        <v>0.9935351219880745</v>
      </c>
      <c r="N35" s="65"/>
      <c r="O35" s="64" t="e">
        <f>F35*#REF!</f>
        <v>#REF!</v>
      </c>
      <c r="P35" s="65"/>
      <c r="Q35" s="65"/>
      <c r="R35" s="65"/>
      <c r="S35" s="65"/>
      <c r="T35" s="65"/>
    </row>
    <row r="36" spans="1:20" s="62" customFormat="1" ht="11.25">
      <c r="A36" s="65"/>
      <c r="B36" s="246" t="s">
        <v>62</v>
      </c>
      <c r="C36" s="102">
        <f>C33</f>
        <v>170</v>
      </c>
      <c r="D36" s="103">
        <v>10</v>
      </c>
      <c r="E36" s="145">
        <f t="shared" si="11"/>
        <v>6</v>
      </c>
      <c r="F36" s="220">
        <f t="shared" si="12"/>
        <v>28.333333333333332</v>
      </c>
      <c r="G36" s="226">
        <f t="shared" si="13"/>
        <v>0.1927437641723356</v>
      </c>
      <c r="H36" s="153">
        <f>'Cost Worksheet 2'!$F$8*G36</f>
        <v>0</v>
      </c>
      <c r="I36" s="153">
        <f>'Cost Worksheet 2'!$H$16*G36</f>
        <v>40.090702947845806</v>
      </c>
      <c r="J36" s="153">
        <f>'Cost Worksheet 2'!$H$26*G36</f>
        <v>102.13204055568589</v>
      </c>
      <c r="K36" s="153">
        <f>'Cost Worksheet 2'!$I$41*G36</f>
        <v>26.678227234440996</v>
      </c>
      <c r="L36" s="85">
        <f t="shared" si="14"/>
        <v>168.90097073797267</v>
      </c>
      <c r="M36" s="248">
        <f t="shared" si="15"/>
        <v>0.9935351219880746</v>
      </c>
      <c r="N36" s="65"/>
      <c r="O36" s="64" t="e">
        <f>F36*#REF!</f>
        <v>#REF!</v>
      </c>
      <c r="P36" s="65"/>
      <c r="Q36" s="65"/>
      <c r="R36" s="65"/>
      <c r="S36" s="65"/>
      <c r="T36" s="65"/>
    </row>
    <row r="37" spans="1:20" s="62" customFormat="1" ht="11.25">
      <c r="A37" s="65"/>
      <c r="B37" s="244" t="s">
        <v>63</v>
      </c>
      <c r="C37" s="102">
        <f>C31</f>
        <v>1700</v>
      </c>
      <c r="D37" s="103">
        <v>10</v>
      </c>
      <c r="E37" s="145">
        <f t="shared" si="11"/>
        <v>6</v>
      </c>
      <c r="F37" s="220">
        <f t="shared" si="12"/>
        <v>283.3333333333333</v>
      </c>
      <c r="G37" s="226">
        <f t="shared" si="13"/>
        <v>1.9274376417233559</v>
      </c>
      <c r="H37" s="153">
        <f>'Cost Worksheet 2'!$F$8*G37</f>
        <v>0</v>
      </c>
      <c r="I37" s="153">
        <f>'Cost Worksheet 2'!$H$16*G37</f>
        <v>400.907029478458</v>
      </c>
      <c r="J37" s="153">
        <f>'Cost Worksheet 2'!$H$26*G37</f>
        <v>1021.3204055568588</v>
      </c>
      <c r="K37" s="153">
        <f>'Cost Worksheet 2'!$I$41*G37</f>
        <v>266.78227234440993</v>
      </c>
      <c r="L37" s="85">
        <f t="shared" si="14"/>
        <v>1689.0097073797267</v>
      </c>
      <c r="M37" s="248">
        <f t="shared" si="15"/>
        <v>0.9935351219880746</v>
      </c>
      <c r="N37" s="65"/>
      <c r="O37" s="64" t="e">
        <f>F37*#REF!</f>
        <v>#REF!</v>
      </c>
      <c r="P37" s="65"/>
      <c r="Q37" s="65"/>
      <c r="R37" s="65"/>
      <c r="S37" s="65"/>
      <c r="T37" s="65"/>
    </row>
    <row r="38" spans="1:20" s="62" customFormat="1" ht="11.25">
      <c r="A38" s="65"/>
      <c r="B38" s="246" t="s">
        <v>64</v>
      </c>
      <c r="C38" s="102">
        <f>C31</f>
        <v>1700</v>
      </c>
      <c r="D38" s="103">
        <v>10</v>
      </c>
      <c r="E38" s="145">
        <f t="shared" si="11"/>
        <v>6</v>
      </c>
      <c r="F38" s="220">
        <f t="shared" si="12"/>
        <v>283.3333333333333</v>
      </c>
      <c r="G38" s="226">
        <f t="shared" si="13"/>
        <v>1.9274376417233559</v>
      </c>
      <c r="H38" s="153">
        <f>'Cost Worksheet 2'!$F$8*G38</f>
        <v>0</v>
      </c>
      <c r="I38" s="153">
        <f>'Cost Worksheet 2'!$H$16*G38</f>
        <v>400.907029478458</v>
      </c>
      <c r="J38" s="153">
        <f>'Cost Worksheet 2'!$H$26*G38</f>
        <v>1021.3204055568588</v>
      </c>
      <c r="K38" s="153">
        <f>'Cost Worksheet 2'!$I$41*G38</f>
        <v>266.78227234440993</v>
      </c>
      <c r="L38" s="85">
        <f t="shared" si="14"/>
        <v>1689.0097073797267</v>
      </c>
      <c r="M38" s="248">
        <f t="shared" si="15"/>
        <v>0.9935351219880746</v>
      </c>
      <c r="N38" s="65"/>
      <c r="O38" s="64" t="e">
        <f>F38*#REF!</f>
        <v>#REF!</v>
      </c>
      <c r="P38" s="65"/>
      <c r="Q38" s="65"/>
      <c r="R38" s="65"/>
      <c r="S38" s="65"/>
      <c r="T38" s="65"/>
    </row>
    <row r="39" spans="1:20" s="62" customFormat="1" ht="11.25">
      <c r="A39" s="65"/>
      <c r="B39" s="246" t="s">
        <v>65</v>
      </c>
      <c r="C39" s="102">
        <f>C31*20%</f>
        <v>340</v>
      </c>
      <c r="D39" s="103">
        <v>10</v>
      </c>
      <c r="E39" s="145">
        <f t="shared" si="11"/>
        <v>6</v>
      </c>
      <c r="F39" s="220">
        <f t="shared" si="12"/>
        <v>56.666666666666664</v>
      </c>
      <c r="G39" s="226">
        <f t="shared" si="13"/>
        <v>0.3854875283446712</v>
      </c>
      <c r="H39" s="153">
        <f>'Cost Worksheet 2'!$F$8*G39</f>
        <v>0</v>
      </c>
      <c r="I39" s="153">
        <f>'Cost Worksheet 2'!$H$16*G39</f>
        <v>80.18140589569161</v>
      </c>
      <c r="J39" s="153">
        <f>'Cost Worksheet 2'!$H$26*G39</f>
        <v>204.26408111137178</v>
      </c>
      <c r="K39" s="153">
        <f>'Cost Worksheet 2'!$I$41*G39</f>
        <v>53.35645446888199</v>
      </c>
      <c r="L39" s="85">
        <f t="shared" si="14"/>
        <v>337.80194147594534</v>
      </c>
      <c r="M39" s="248">
        <f t="shared" si="15"/>
        <v>0.9935351219880746</v>
      </c>
      <c r="N39" s="65"/>
      <c r="O39" s="64" t="e">
        <f>F39*#REF!</f>
        <v>#REF!</v>
      </c>
      <c r="P39" s="65"/>
      <c r="Q39" s="65"/>
      <c r="R39" s="65"/>
      <c r="S39" s="65"/>
      <c r="T39" s="65"/>
    </row>
    <row r="40" spans="2:15" ht="19.5" customHeight="1">
      <c r="B40" s="161" t="s">
        <v>54</v>
      </c>
      <c r="C40" s="73"/>
      <c r="D40" s="74"/>
      <c r="E40" s="146"/>
      <c r="F40" s="219">
        <f>SUM(F41:F50)</f>
        <v>1088</v>
      </c>
      <c r="G40" s="225">
        <f>SUM(G41:G50)</f>
        <v>7.401360544217686</v>
      </c>
      <c r="H40" s="155"/>
      <c r="I40" s="156"/>
      <c r="J40" s="156"/>
      <c r="K40" s="156"/>
      <c r="L40" s="75"/>
      <c r="M40" s="247"/>
      <c r="O40" s="64"/>
    </row>
    <row r="41" spans="1:20" s="62" customFormat="1" ht="11.25">
      <c r="A41" s="142"/>
      <c r="B41" s="244" t="s">
        <v>56</v>
      </c>
      <c r="C41" s="106">
        <v>1</v>
      </c>
      <c r="D41" s="103">
        <v>10</v>
      </c>
      <c r="E41" s="145">
        <f aca="true" t="shared" si="16" ref="E41:E50">60/D41</f>
        <v>6</v>
      </c>
      <c r="F41" s="220">
        <f aca="true" t="shared" si="17" ref="F41:F61">(C41*D41)/60</f>
        <v>0.16666666666666666</v>
      </c>
      <c r="G41" s="226">
        <f aca="true" t="shared" si="18" ref="G41:G50">F41/$I$2</f>
        <v>0.0011337868480725624</v>
      </c>
      <c r="H41" s="153">
        <f>'Cost Worksheet 2'!$F$8*G41</f>
        <v>0</v>
      </c>
      <c r="I41" s="153">
        <f>'Cost Worksheet 2'!$H$16*G41</f>
        <v>0.23582766439909297</v>
      </c>
      <c r="J41" s="153">
        <f>'Cost Worksheet 2'!$H$26*G41</f>
        <v>0.6007767091510935</v>
      </c>
      <c r="K41" s="153">
        <f>'Cost Worksheet 2'!$I$41*G41</f>
        <v>0.1569307484378882</v>
      </c>
      <c r="L41" s="85">
        <f>SUM(H41:K41)</f>
        <v>0.9935351219880747</v>
      </c>
      <c r="M41" s="248">
        <f>L41/C41</f>
        <v>0.9935351219880747</v>
      </c>
      <c r="N41" s="65"/>
      <c r="O41" s="64" t="e">
        <f>F41*#REF!</f>
        <v>#REF!</v>
      </c>
      <c r="P41" s="65"/>
      <c r="Q41" s="65"/>
      <c r="R41" s="65"/>
      <c r="S41" s="65"/>
      <c r="T41" s="65"/>
    </row>
    <row r="42" spans="1:20" s="62" customFormat="1" ht="11.25">
      <c r="A42" s="65"/>
      <c r="B42" s="244" t="s">
        <v>57</v>
      </c>
      <c r="C42" s="102">
        <v>1500</v>
      </c>
      <c r="D42" s="103">
        <v>10</v>
      </c>
      <c r="E42" s="145">
        <f t="shared" si="16"/>
        <v>6</v>
      </c>
      <c r="F42" s="220">
        <f t="shared" si="17"/>
        <v>250</v>
      </c>
      <c r="G42" s="226">
        <f t="shared" si="18"/>
        <v>1.7006802721088434</v>
      </c>
      <c r="H42" s="153">
        <f>'Cost Worksheet 2'!$F$8*G42</f>
        <v>0</v>
      </c>
      <c r="I42" s="153">
        <f>'Cost Worksheet 2'!$H$16*G42</f>
        <v>353.74149659863946</v>
      </c>
      <c r="J42" s="153">
        <f>'Cost Worksheet 2'!$H$26*G42</f>
        <v>901.1650637266401</v>
      </c>
      <c r="K42" s="153">
        <f>'Cost Worksheet 2'!$I$41*G42</f>
        <v>235.3961226568323</v>
      </c>
      <c r="L42" s="85">
        <f aca="true" t="shared" si="19" ref="L42:L48">SUM(H42:K42)</f>
        <v>1490.302682982112</v>
      </c>
      <c r="M42" s="248">
        <f aca="true" t="shared" si="20" ref="M42:M48">L42/C42</f>
        <v>0.9935351219880746</v>
      </c>
      <c r="N42" s="65"/>
      <c r="O42" s="64" t="e">
        <f>F42*#REF!</f>
        <v>#REF!</v>
      </c>
      <c r="P42" s="65"/>
      <c r="Q42" s="65"/>
      <c r="R42" s="65"/>
      <c r="S42" s="65"/>
      <c r="T42" s="65"/>
    </row>
    <row r="43" spans="1:20" s="62" customFormat="1" ht="11.25">
      <c r="A43" s="65"/>
      <c r="B43" s="244" t="s">
        <v>58</v>
      </c>
      <c r="C43" s="102">
        <f>C42*20%</f>
        <v>300</v>
      </c>
      <c r="D43" s="103">
        <v>10</v>
      </c>
      <c r="E43" s="145">
        <f t="shared" si="16"/>
        <v>6</v>
      </c>
      <c r="F43" s="220">
        <f t="shared" si="17"/>
        <v>50</v>
      </c>
      <c r="G43" s="226">
        <f t="shared" si="18"/>
        <v>0.3401360544217687</v>
      </c>
      <c r="H43" s="153">
        <f>'Cost Worksheet 2'!$F$8*G43</f>
        <v>0</v>
      </c>
      <c r="I43" s="153">
        <f>'Cost Worksheet 2'!$H$16*G43</f>
        <v>70.74829931972789</v>
      </c>
      <c r="J43" s="153">
        <f>'Cost Worksheet 2'!$H$26*G43</f>
        <v>180.23301274532804</v>
      </c>
      <c r="K43" s="153">
        <f>'Cost Worksheet 2'!$I$41*G43</f>
        <v>47.079224531366464</v>
      </c>
      <c r="L43" s="85">
        <f t="shared" si="19"/>
        <v>298.06053659642237</v>
      </c>
      <c r="M43" s="248">
        <f t="shared" si="20"/>
        <v>0.9935351219880746</v>
      </c>
      <c r="N43" s="65"/>
      <c r="O43" s="64" t="e">
        <f>F43*#REF!</f>
        <v>#REF!</v>
      </c>
      <c r="P43" s="65"/>
      <c r="Q43" s="65"/>
      <c r="R43" s="65"/>
      <c r="S43" s="65"/>
      <c r="T43" s="65"/>
    </row>
    <row r="44" spans="1:20" s="62" customFormat="1" ht="11.25">
      <c r="A44" s="65"/>
      <c r="B44" s="244" t="s">
        <v>59</v>
      </c>
      <c r="C44" s="102">
        <f>C43*50%</f>
        <v>150</v>
      </c>
      <c r="D44" s="103">
        <v>10</v>
      </c>
      <c r="E44" s="145">
        <f t="shared" si="16"/>
        <v>6</v>
      </c>
      <c r="F44" s="220">
        <f t="shared" si="17"/>
        <v>25</v>
      </c>
      <c r="G44" s="226">
        <f t="shared" si="18"/>
        <v>0.17006802721088435</v>
      </c>
      <c r="H44" s="153">
        <f>'Cost Worksheet 2'!$F$8*G44</f>
        <v>0</v>
      </c>
      <c r="I44" s="153">
        <f>'Cost Worksheet 2'!$H$16*G44</f>
        <v>35.374149659863946</v>
      </c>
      <c r="J44" s="153">
        <f>'Cost Worksheet 2'!$H$26*G44</f>
        <v>90.11650637266402</v>
      </c>
      <c r="K44" s="153">
        <f>'Cost Worksheet 2'!$I$41*G44</f>
        <v>23.539612265683232</v>
      </c>
      <c r="L44" s="85">
        <f t="shared" si="19"/>
        <v>149.03026829821118</v>
      </c>
      <c r="M44" s="248">
        <f t="shared" si="20"/>
        <v>0.9935351219880746</v>
      </c>
      <c r="N44" s="65"/>
      <c r="O44" s="64" t="e">
        <f>F44*#REF!</f>
        <v>#REF!</v>
      </c>
      <c r="P44" s="65"/>
      <c r="Q44" s="65"/>
      <c r="R44" s="65"/>
      <c r="S44" s="65"/>
      <c r="T44" s="65"/>
    </row>
    <row r="45" spans="1:20" s="62" customFormat="1" ht="11.25">
      <c r="A45" s="65"/>
      <c r="B45" s="244" t="s">
        <v>60</v>
      </c>
      <c r="C45" s="102">
        <f>C42</f>
        <v>1500</v>
      </c>
      <c r="D45" s="103">
        <v>10</v>
      </c>
      <c r="E45" s="145">
        <f t="shared" si="16"/>
        <v>6</v>
      </c>
      <c r="F45" s="220">
        <f t="shared" si="17"/>
        <v>250</v>
      </c>
      <c r="G45" s="226">
        <f t="shared" si="18"/>
        <v>1.7006802721088434</v>
      </c>
      <c r="H45" s="153">
        <f>'Cost Worksheet 2'!$F$8*G45</f>
        <v>0</v>
      </c>
      <c r="I45" s="153">
        <f>'Cost Worksheet 2'!$H$16*G45</f>
        <v>353.74149659863946</v>
      </c>
      <c r="J45" s="153">
        <f>'Cost Worksheet 2'!$H$26*G45</f>
        <v>901.1650637266401</v>
      </c>
      <c r="K45" s="153">
        <f>'Cost Worksheet 2'!$I$41*G45</f>
        <v>235.3961226568323</v>
      </c>
      <c r="L45" s="85">
        <f t="shared" si="19"/>
        <v>1490.302682982112</v>
      </c>
      <c r="M45" s="248">
        <f t="shared" si="20"/>
        <v>0.9935351219880746</v>
      </c>
      <c r="N45" s="65"/>
      <c r="O45" s="64" t="e">
        <f>F45*#REF!</f>
        <v>#REF!</v>
      </c>
      <c r="P45" s="65"/>
      <c r="Q45" s="65"/>
      <c r="R45" s="65"/>
      <c r="S45" s="65"/>
      <c r="T45" s="65"/>
    </row>
    <row r="46" spans="1:20" s="62" customFormat="1" ht="11.25">
      <c r="A46" s="65"/>
      <c r="B46" s="246" t="s">
        <v>61</v>
      </c>
      <c r="C46" s="102">
        <f>C42</f>
        <v>1500</v>
      </c>
      <c r="D46" s="103">
        <v>10</v>
      </c>
      <c r="E46" s="145">
        <f t="shared" si="16"/>
        <v>6</v>
      </c>
      <c r="F46" s="220">
        <f t="shared" si="17"/>
        <v>250</v>
      </c>
      <c r="G46" s="226">
        <f t="shared" si="18"/>
        <v>1.7006802721088434</v>
      </c>
      <c r="H46" s="153">
        <f>'Cost Worksheet 2'!$F$8*G46</f>
        <v>0</v>
      </c>
      <c r="I46" s="153">
        <f>'Cost Worksheet 2'!$H$16*G46</f>
        <v>353.74149659863946</v>
      </c>
      <c r="J46" s="153">
        <f>'Cost Worksheet 2'!$H$26*G46</f>
        <v>901.1650637266401</v>
      </c>
      <c r="K46" s="153">
        <f>'Cost Worksheet 2'!$I$41*G46</f>
        <v>235.3961226568323</v>
      </c>
      <c r="L46" s="85">
        <f t="shared" si="19"/>
        <v>1490.302682982112</v>
      </c>
      <c r="M46" s="248">
        <f t="shared" si="20"/>
        <v>0.9935351219880746</v>
      </c>
      <c r="N46" s="65"/>
      <c r="O46" s="64" t="e">
        <f>F46*#REF!</f>
        <v>#REF!</v>
      </c>
      <c r="P46" s="65"/>
      <c r="Q46" s="65"/>
      <c r="R46" s="65"/>
      <c r="S46" s="65"/>
      <c r="T46" s="65"/>
    </row>
    <row r="47" spans="1:20" s="62" customFormat="1" ht="11.25">
      <c r="A47" s="65"/>
      <c r="B47" s="246" t="s">
        <v>62</v>
      </c>
      <c r="C47" s="102">
        <v>17</v>
      </c>
      <c r="D47" s="103">
        <v>10</v>
      </c>
      <c r="E47" s="145">
        <f t="shared" si="16"/>
        <v>6</v>
      </c>
      <c r="F47" s="220">
        <f t="shared" si="17"/>
        <v>2.8333333333333335</v>
      </c>
      <c r="G47" s="226">
        <f t="shared" si="18"/>
        <v>0.01927437641723356</v>
      </c>
      <c r="H47" s="153">
        <f>'Cost Worksheet 2'!$F$8*G47</f>
        <v>0</v>
      </c>
      <c r="I47" s="153">
        <f>'Cost Worksheet 2'!$H$16*G47</f>
        <v>4.00907029478458</v>
      </c>
      <c r="J47" s="153">
        <f>'Cost Worksheet 2'!$H$26*G47</f>
        <v>10.213204055568589</v>
      </c>
      <c r="K47" s="153">
        <f>'Cost Worksheet 2'!$I$41*G47</f>
        <v>2.6678227234440994</v>
      </c>
      <c r="L47" s="85">
        <f t="shared" si="19"/>
        <v>16.890097073797268</v>
      </c>
      <c r="M47" s="248">
        <f t="shared" si="20"/>
        <v>0.9935351219880746</v>
      </c>
      <c r="N47" s="65"/>
      <c r="O47" s="64" t="e">
        <f>F47*#REF!</f>
        <v>#REF!</v>
      </c>
      <c r="P47" s="65"/>
      <c r="Q47" s="65"/>
      <c r="R47" s="65"/>
      <c r="S47" s="65"/>
      <c r="T47" s="65"/>
    </row>
    <row r="48" spans="1:20" s="62" customFormat="1" ht="11.25">
      <c r="A48" s="65"/>
      <c r="B48" s="244" t="s">
        <v>63</v>
      </c>
      <c r="C48" s="102">
        <f>C42*80%</f>
        <v>1200</v>
      </c>
      <c r="D48" s="103">
        <v>10</v>
      </c>
      <c r="E48" s="145">
        <f t="shared" si="16"/>
        <v>6</v>
      </c>
      <c r="F48" s="220">
        <f t="shared" si="17"/>
        <v>200</v>
      </c>
      <c r="G48" s="226">
        <f t="shared" si="18"/>
        <v>1.3605442176870748</v>
      </c>
      <c r="H48" s="153">
        <f>'Cost Worksheet 2'!$F$8*G48</f>
        <v>0</v>
      </c>
      <c r="I48" s="153">
        <f>'Cost Worksheet 2'!$H$16*G48</f>
        <v>282.99319727891157</v>
      </c>
      <c r="J48" s="153">
        <f>'Cost Worksheet 2'!$H$26*G48</f>
        <v>720.9320509813122</v>
      </c>
      <c r="K48" s="153">
        <f>'Cost Worksheet 2'!$I$41*G48</f>
        <v>188.31689812546585</v>
      </c>
      <c r="L48" s="85">
        <f t="shared" si="19"/>
        <v>1192.2421463856895</v>
      </c>
      <c r="M48" s="248">
        <f t="shared" si="20"/>
        <v>0.9935351219880746</v>
      </c>
      <c r="N48" s="65"/>
      <c r="O48" s="64" t="e">
        <f>F48*#REF!</f>
        <v>#REF!</v>
      </c>
      <c r="P48" s="65"/>
      <c r="Q48" s="65"/>
      <c r="R48" s="65"/>
      <c r="S48" s="65"/>
      <c r="T48" s="65"/>
    </row>
    <row r="49" spans="1:20" s="62" customFormat="1" ht="11.25">
      <c r="A49" s="65"/>
      <c r="B49" s="244" t="s">
        <v>64</v>
      </c>
      <c r="C49" s="102">
        <f>C43*80%</f>
        <v>240</v>
      </c>
      <c r="D49" s="103">
        <v>10</v>
      </c>
      <c r="E49" s="145">
        <f t="shared" si="16"/>
        <v>6</v>
      </c>
      <c r="F49" s="220">
        <f t="shared" si="17"/>
        <v>40</v>
      </c>
      <c r="G49" s="226">
        <f t="shared" si="18"/>
        <v>0.272108843537415</v>
      </c>
      <c r="H49" s="153">
        <f>'Cost Worksheet 2'!$F$8*G49</f>
        <v>0</v>
      </c>
      <c r="I49" s="153">
        <f>'Cost Worksheet 2'!$H$16*G49</f>
        <v>56.59863945578232</v>
      </c>
      <c r="J49" s="153">
        <f>'Cost Worksheet 2'!$H$26*G49</f>
        <v>144.18641019626244</v>
      </c>
      <c r="K49" s="153">
        <f>'Cost Worksheet 2'!$I$41*G49</f>
        <v>37.66337962509317</v>
      </c>
      <c r="L49" s="85">
        <f>SUM(H49:K49)</f>
        <v>238.44842927713793</v>
      </c>
      <c r="M49" s="248">
        <f>L49/C49</f>
        <v>0.9935351219880747</v>
      </c>
      <c r="N49" s="65"/>
      <c r="O49" s="64" t="e">
        <f>F49*#REF!</f>
        <v>#REF!</v>
      </c>
      <c r="P49" s="65"/>
      <c r="Q49" s="65"/>
      <c r="R49" s="65"/>
      <c r="S49" s="65"/>
      <c r="T49" s="65"/>
    </row>
    <row r="50" spans="1:20" s="62" customFormat="1" ht="11.25">
      <c r="A50" s="65"/>
      <c r="B50" s="244" t="s">
        <v>65</v>
      </c>
      <c r="C50" s="102">
        <f>C44*80%</f>
        <v>120</v>
      </c>
      <c r="D50" s="103">
        <v>10</v>
      </c>
      <c r="E50" s="145">
        <f t="shared" si="16"/>
        <v>6</v>
      </c>
      <c r="F50" s="220">
        <f t="shared" si="17"/>
        <v>20</v>
      </c>
      <c r="G50" s="226">
        <f t="shared" si="18"/>
        <v>0.1360544217687075</v>
      </c>
      <c r="H50" s="153">
        <f>'Cost Worksheet 2'!$F$8*G50</f>
        <v>0</v>
      </c>
      <c r="I50" s="153">
        <f>'Cost Worksheet 2'!$H$16*G50</f>
        <v>28.29931972789116</v>
      </c>
      <c r="J50" s="153">
        <f>'Cost Worksheet 2'!$H$26*G50</f>
        <v>72.09320509813122</v>
      </c>
      <c r="K50" s="153">
        <f>'Cost Worksheet 2'!$I$41*G50</f>
        <v>18.831689812546585</v>
      </c>
      <c r="L50" s="85">
        <f>SUM(H50:K50)</f>
        <v>119.22421463856897</v>
      </c>
      <c r="M50" s="248">
        <f>L50/C50</f>
        <v>0.9935351219880747</v>
      </c>
      <c r="N50" s="65"/>
      <c r="O50" s="64" t="e">
        <f>F50*#REF!</f>
        <v>#REF!</v>
      </c>
      <c r="P50" s="65"/>
      <c r="Q50" s="65"/>
      <c r="R50" s="65"/>
      <c r="S50" s="65"/>
      <c r="T50" s="65"/>
    </row>
    <row r="51" spans="2:15" ht="19.5" customHeight="1">
      <c r="B51" s="161" t="s">
        <v>55</v>
      </c>
      <c r="C51" s="73"/>
      <c r="D51" s="74"/>
      <c r="E51" s="146"/>
      <c r="F51" s="219">
        <f>SUM(F52:F61)</f>
        <v>230.83333333333337</v>
      </c>
      <c r="G51" s="225">
        <f>SUM(G52:G61)</f>
        <v>1.5702947845804989</v>
      </c>
      <c r="H51" s="155"/>
      <c r="I51" s="156"/>
      <c r="J51" s="156"/>
      <c r="K51" s="156"/>
      <c r="L51" s="75"/>
      <c r="M51" s="247"/>
      <c r="O51" s="72"/>
    </row>
    <row r="52" spans="1:15" s="62" customFormat="1" ht="11.25">
      <c r="A52" s="65"/>
      <c r="B52" s="244" t="s">
        <v>56</v>
      </c>
      <c r="C52" s="106">
        <v>180</v>
      </c>
      <c r="D52" s="103">
        <v>10</v>
      </c>
      <c r="E52" s="145">
        <f aca="true" t="shared" si="21" ref="E52:E61">60/D52</f>
        <v>6</v>
      </c>
      <c r="F52" s="220">
        <f t="shared" si="17"/>
        <v>30</v>
      </c>
      <c r="G52" s="226">
        <f aca="true" t="shared" si="22" ref="G52:G61">F52/$I$2</f>
        <v>0.20408163265306123</v>
      </c>
      <c r="H52" s="153">
        <f>'Cost Worksheet 2'!$F$7*G52</f>
        <v>442.1768707482993</v>
      </c>
      <c r="I52" s="153">
        <f>'Cost Worksheet 2'!$H$16*G52</f>
        <v>42.44897959183673</v>
      </c>
      <c r="J52" s="153">
        <f>'Cost Worksheet 2'!$H$26*G52</f>
        <v>108.13980764719682</v>
      </c>
      <c r="K52" s="153">
        <f>'Cost Worksheet 2'!$I$41*G52</f>
        <v>28.247534718819878</v>
      </c>
      <c r="L52" s="85">
        <f>SUM(H52:K52)</f>
        <v>621.0131927061527</v>
      </c>
      <c r="M52" s="248">
        <f>L52/C52</f>
        <v>3.4500732928119597</v>
      </c>
      <c r="N52" s="62" t="e">
        <f>F52*#REF!</f>
        <v>#REF!</v>
      </c>
      <c r="O52" s="64" t="e">
        <f aca="true" t="shared" si="23" ref="O52:O61">F52-N52</f>
        <v>#REF!</v>
      </c>
    </row>
    <row r="53" spans="1:20" s="62" customFormat="1" ht="11.25">
      <c r="A53" s="65"/>
      <c r="B53" s="244" t="s">
        <v>57</v>
      </c>
      <c r="C53" s="106">
        <f>(C54+C55)*5%</f>
        <v>22.5</v>
      </c>
      <c r="D53" s="103">
        <v>10</v>
      </c>
      <c r="E53" s="145">
        <f t="shared" si="21"/>
        <v>6</v>
      </c>
      <c r="F53" s="220">
        <f t="shared" si="17"/>
        <v>3.75</v>
      </c>
      <c r="G53" s="226">
        <f t="shared" si="22"/>
        <v>0.025510204081632654</v>
      </c>
      <c r="H53" s="153">
        <f>'Cost Worksheet 2'!$F$8*G53</f>
        <v>0</v>
      </c>
      <c r="I53" s="153">
        <f>'Cost Worksheet 2'!$H$16*G53</f>
        <v>5.3061224489795915</v>
      </c>
      <c r="J53" s="153">
        <f>'Cost Worksheet 2'!$H$26*G53</f>
        <v>13.517475955899602</v>
      </c>
      <c r="K53" s="153">
        <f>'Cost Worksheet 2'!$I$41*G53</f>
        <v>3.5309418398524848</v>
      </c>
      <c r="L53" s="85">
        <f>SUM(H53:K53)</f>
        <v>22.354540244731677</v>
      </c>
      <c r="M53" s="248">
        <f>L53/C53</f>
        <v>0.9935351219880745</v>
      </c>
      <c r="N53" s="62" t="e">
        <f>F53*#REF!</f>
        <v>#REF!</v>
      </c>
      <c r="O53" s="64" t="e">
        <f t="shared" si="23"/>
        <v>#REF!</v>
      </c>
      <c r="P53" s="65"/>
      <c r="Q53" s="65"/>
      <c r="R53" s="65"/>
      <c r="S53" s="65"/>
      <c r="T53" s="65"/>
    </row>
    <row r="54" spans="1:20" s="62" customFormat="1" ht="11.25">
      <c r="A54" s="65"/>
      <c r="B54" s="244" t="s">
        <v>58</v>
      </c>
      <c r="C54" s="106">
        <v>350</v>
      </c>
      <c r="D54" s="103">
        <v>10</v>
      </c>
      <c r="E54" s="145">
        <f t="shared" si="21"/>
        <v>6</v>
      </c>
      <c r="F54" s="220">
        <f t="shared" si="17"/>
        <v>58.333333333333336</v>
      </c>
      <c r="G54" s="226">
        <f t="shared" si="22"/>
        <v>0.39682539682539686</v>
      </c>
      <c r="H54" s="153">
        <f>'Cost Worksheet 2'!$F$8*G54</f>
        <v>0</v>
      </c>
      <c r="I54" s="153">
        <f>'Cost Worksheet 2'!$H$16*G54</f>
        <v>82.53968253968254</v>
      </c>
      <c r="J54" s="153">
        <f>'Cost Worksheet 2'!$H$26*G54</f>
        <v>210.27184820288272</v>
      </c>
      <c r="K54" s="153">
        <f>'Cost Worksheet 2'!$I$41*G54</f>
        <v>54.925761953260874</v>
      </c>
      <c r="L54" s="85">
        <f>SUM(H54:K54)</f>
        <v>347.7372926958261</v>
      </c>
      <c r="M54" s="248">
        <f>L54/C54</f>
        <v>0.9935351219880746</v>
      </c>
      <c r="N54" s="62" t="e">
        <f>F54*#REF!</f>
        <v>#REF!</v>
      </c>
      <c r="O54" s="64" t="e">
        <f t="shared" si="23"/>
        <v>#REF!</v>
      </c>
      <c r="P54" s="65"/>
      <c r="Q54" s="65"/>
      <c r="R54" s="65"/>
      <c r="S54" s="65"/>
      <c r="T54" s="65"/>
    </row>
    <row r="55" spans="1:20" s="62" customFormat="1" ht="11.25">
      <c r="A55" s="65"/>
      <c r="B55" s="244" t="s">
        <v>59</v>
      </c>
      <c r="C55" s="106">
        <v>100</v>
      </c>
      <c r="D55" s="103">
        <v>10</v>
      </c>
      <c r="E55" s="145">
        <f t="shared" si="21"/>
        <v>6</v>
      </c>
      <c r="F55" s="220">
        <f t="shared" si="17"/>
        <v>16.666666666666668</v>
      </c>
      <c r="G55" s="226">
        <f t="shared" si="22"/>
        <v>0.11337868480725624</v>
      </c>
      <c r="H55" s="153">
        <f>'Cost Worksheet 2'!$F$8*G55</f>
        <v>0</v>
      </c>
      <c r="I55" s="153">
        <f>'Cost Worksheet 2'!$H$16*G55</f>
        <v>23.5827664399093</v>
      </c>
      <c r="J55" s="153">
        <f>'Cost Worksheet 2'!$H$26*G55</f>
        <v>60.077670915109344</v>
      </c>
      <c r="K55" s="153">
        <f>'Cost Worksheet 2'!$I$41*G55</f>
        <v>15.693074843788821</v>
      </c>
      <c r="L55" s="85">
        <f aca="true" t="shared" si="24" ref="L55:L61">SUM(H55:K55)</f>
        <v>99.35351219880746</v>
      </c>
      <c r="M55" s="248">
        <f aca="true" t="shared" si="25" ref="M55:M61">L55/C55</f>
        <v>0.9935351219880747</v>
      </c>
      <c r="N55" s="62" t="e">
        <f>F55*#REF!</f>
        <v>#REF!</v>
      </c>
      <c r="O55" s="64" t="e">
        <f t="shared" si="23"/>
        <v>#REF!</v>
      </c>
      <c r="P55" s="65"/>
      <c r="Q55" s="65"/>
      <c r="R55" s="65"/>
      <c r="S55" s="65"/>
      <c r="T55" s="65"/>
    </row>
    <row r="56" spans="1:20" s="62" customFormat="1" ht="11.25">
      <c r="A56" s="65"/>
      <c r="B56" s="244" t="s">
        <v>60</v>
      </c>
      <c r="C56" s="106">
        <f>C55*50%</f>
        <v>50</v>
      </c>
      <c r="D56" s="103">
        <v>10</v>
      </c>
      <c r="E56" s="145">
        <f t="shared" si="21"/>
        <v>6</v>
      </c>
      <c r="F56" s="220">
        <f t="shared" si="17"/>
        <v>8.333333333333334</v>
      </c>
      <c r="G56" s="226">
        <f t="shared" si="22"/>
        <v>0.05668934240362812</v>
      </c>
      <c r="H56" s="153">
        <f>'Cost Worksheet 2'!$F$8*G56</f>
        <v>0</v>
      </c>
      <c r="I56" s="153">
        <f>'Cost Worksheet 2'!$H$16*G56</f>
        <v>11.79138321995465</v>
      </c>
      <c r="J56" s="153">
        <f>'Cost Worksheet 2'!$H$26*G56</f>
        <v>30.038835457554672</v>
      </c>
      <c r="K56" s="153">
        <f>'Cost Worksheet 2'!$I$41*G56</f>
        <v>7.846537421894411</v>
      </c>
      <c r="L56" s="85">
        <f t="shared" si="24"/>
        <v>49.67675609940373</v>
      </c>
      <c r="M56" s="248">
        <f t="shared" si="25"/>
        <v>0.9935351219880747</v>
      </c>
      <c r="N56" s="62" t="e">
        <f>F56*#REF!</f>
        <v>#REF!</v>
      </c>
      <c r="O56" s="64" t="e">
        <f t="shared" si="23"/>
        <v>#REF!</v>
      </c>
      <c r="P56" s="65"/>
      <c r="Q56" s="65"/>
      <c r="R56" s="65"/>
      <c r="S56" s="65"/>
      <c r="T56" s="65"/>
    </row>
    <row r="57" spans="1:20" s="62" customFormat="1" ht="11.25">
      <c r="A57" s="65"/>
      <c r="B57" s="246" t="s">
        <v>61</v>
      </c>
      <c r="C57" s="111">
        <v>10</v>
      </c>
      <c r="D57" s="103">
        <v>10</v>
      </c>
      <c r="E57" s="145">
        <f t="shared" si="21"/>
        <v>6</v>
      </c>
      <c r="F57" s="220">
        <f t="shared" si="17"/>
        <v>1.6666666666666667</v>
      </c>
      <c r="G57" s="226">
        <f t="shared" si="22"/>
        <v>0.011337868480725623</v>
      </c>
      <c r="H57" s="153">
        <f>'Cost Worksheet 2'!$F$8*G57</f>
        <v>0</v>
      </c>
      <c r="I57" s="153">
        <f>'Cost Worksheet 2'!$H$16*G57</f>
        <v>2.3582766439909295</v>
      </c>
      <c r="J57" s="153">
        <f>'Cost Worksheet 2'!$H$26*G57</f>
        <v>6.007767091510934</v>
      </c>
      <c r="K57" s="153">
        <f>'Cost Worksheet 2'!$I$41*G57</f>
        <v>1.5693074843788821</v>
      </c>
      <c r="L57" s="85">
        <f t="shared" si="24"/>
        <v>9.935351219880745</v>
      </c>
      <c r="M57" s="248">
        <f t="shared" si="25"/>
        <v>0.9935351219880746</v>
      </c>
      <c r="N57" s="62" t="e">
        <f>F57*#REF!</f>
        <v>#REF!</v>
      </c>
      <c r="O57" s="64" t="e">
        <f t="shared" si="23"/>
        <v>#REF!</v>
      </c>
      <c r="P57" s="65"/>
      <c r="Q57" s="65"/>
      <c r="R57" s="65"/>
      <c r="S57" s="65"/>
      <c r="T57" s="65"/>
    </row>
    <row r="58" spans="1:20" s="62" customFormat="1" ht="11.25">
      <c r="A58" s="65"/>
      <c r="B58" s="246" t="s">
        <v>62</v>
      </c>
      <c r="C58" s="106">
        <f>C56</f>
        <v>50</v>
      </c>
      <c r="D58" s="103">
        <v>10</v>
      </c>
      <c r="E58" s="145">
        <f t="shared" si="21"/>
        <v>6</v>
      </c>
      <c r="F58" s="220">
        <f t="shared" si="17"/>
        <v>8.333333333333334</v>
      </c>
      <c r="G58" s="226">
        <f t="shared" si="22"/>
        <v>0.05668934240362812</v>
      </c>
      <c r="H58" s="153">
        <f>'Cost Worksheet 2'!$F$8*G58</f>
        <v>0</v>
      </c>
      <c r="I58" s="153">
        <f>'Cost Worksheet 2'!$H$16*G58</f>
        <v>11.79138321995465</v>
      </c>
      <c r="J58" s="153">
        <f>'Cost Worksheet 2'!$H$26*G58</f>
        <v>30.038835457554672</v>
      </c>
      <c r="K58" s="153">
        <f>'Cost Worksheet 2'!$I$41*G58</f>
        <v>7.846537421894411</v>
      </c>
      <c r="L58" s="85">
        <f t="shared" si="24"/>
        <v>49.67675609940373</v>
      </c>
      <c r="M58" s="248">
        <f t="shared" si="25"/>
        <v>0.9935351219880747</v>
      </c>
      <c r="N58" s="62" t="e">
        <f>F58*#REF!</f>
        <v>#REF!</v>
      </c>
      <c r="O58" s="64" t="e">
        <f t="shared" si="23"/>
        <v>#REF!</v>
      </c>
      <c r="P58" s="65"/>
      <c r="Q58" s="65"/>
      <c r="R58" s="65"/>
      <c r="S58" s="65"/>
      <c r="T58" s="65"/>
    </row>
    <row r="59" spans="1:15" s="62" customFormat="1" ht="11.25">
      <c r="A59" s="65"/>
      <c r="B59" s="244" t="s">
        <v>63</v>
      </c>
      <c r="C59" s="106">
        <f>C53+C54</f>
        <v>372.5</v>
      </c>
      <c r="D59" s="103">
        <v>10</v>
      </c>
      <c r="E59" s="145">
        <f t="shared" si="21"/>
        <v>6</v>
      </c>
      <c r="F59" s="220">
        <f t="shared" si="17"/>
        <v>62.083333333333336</v>
      </c>
      <c r="G59" s="226">
        <f t="shared" si="22"/>
        <v>0.4223356009070295</v>
      </c>
      <c r="H59" s="153">
        <f>'Cost Worksheet 2'!$F$8*G59</f>
        <v>0</v>
      </c>
      <c r="I59" s="153">
        <f>'Cost Worksheet 2'!$H$16*G59</f>
        <v>87.84580498866214</v>
      </c>
      <c r="J59" s="153">
        <f>'Cost Worksheet 2'!$H$26*G59</f>
        <v>223.7893241587823</v>
      </c>
      <c r="K59" s="153">
        <f>'Cost Worksheet 2'!$I$41*G59</f>
        <v>58.456703793113356</v>
      </c>
      <c r="L59" s="85">
        <f t="shared" si="24"/>
        <v>370.0918329405578</v>
      </c>
      <c r="M59" s="248">
        <f t="shared" si="25"/>
        <v>0.9935351219880747</v>
      </c>
      <c r="N59" s="62" t="e">
        <f>F59*#REF!</f>
        <v>#REF!</v>
      </c>
      <c r="O59" s="64" t="e">
        <f t="shared" si="23"/>
        <v>#REF!</v>
      </c>
    </row>
    <row r="60" spans="1:20" s="62" customFormat="1" ht="11.25">
      <c r="A60" s="65"/>
      <c r="B60" s="246" t="s">
        <v>64</v>
      </c>
      <c r="C60" s="106">
        <f>C58</f>
        <v>50</v>
      </c>
      <c r="D60" s="103">
        <v>10</v>
      </c>
      <c r="E60" s="145">
        <f t="shared" si="21"/>
        <v>6</v>
      </c>
      <c r="F60" s="220">
        <f t="shared" si="17"/>
        <v>8.333333333333334</v>
      </c>
      <c r="G60" s="226">
        <f t="shared" si="22"/>
        <v>0.05668934240362812</v>
      </c>
      <c r="H60" s="153">
        <f>'Cost Worksheet 2'!$F$8*G60</f>
        <v>0</v>
      </c>
      <c r="I60" s="153">
        <f>'Cost Worksheet 2'!$H$16*G60</f>
        <v>11.79138321995465</v>
      </c>
      <c r="J60" s="153">
        <f>'Cost Worksheet 2'!$H$26*G60</f>
        <v>30.038835457554672</v>
      </c>
      <c r="K60" s="153">
        <f>'Cost Worksheet 2'!$I$41*G60</f>
        <v>7.846537421894411</v>
      </c>
      <c r="L60" s="85">
        <f>SUM(H60:K60)</f>
        <v>49.67675609940373</v>
      </c>
      <c r="M60" s="248">
        <f>L60/C60</f>
        <v>0.9935351219880747</v>
      </c>
      <c r="N60" s="62" t="e">
        <f>F60*#REF!</f>
        <v>#REF!</v>
      </c>
      <c r="O60" s="64" t="e">
        <f t="shared" si="23"/>
        <v>#REF!</v>
      </c>
      <c r="P60" s="65"/>
      <c r="Q60" s="65"/>
      <c r="R60" s="65"/>
      <c r="S60" s="65"/>
      <c r="T60" s="65"/>
    </row>
    <row r="61" spans="1:20" s="62" customFormat="1" ht="11.25">
      <c r="A61" s="65"/>
      <c r="B61" s="246" t="s">
        <v>65</v>
      </c>
      <c r="C61" s="106">
        <v>200</v>
      </c>
      <c r="D61" s="103">
        <v>10</v>
      </c>
      <c r="E61" s="145">
        <f t="shared" si="21"/>
        <v>6</v>
      </c>
      <c r="F61" s="220">
        <f t="shared" si="17"/>
        <v>33.333333333333336</v>
      </c>
      <c r="G61" s="226">
        <f t="shared" si="22"/>
        <v>0.22675736961451248</v>
      </c>
      <c r="H61" s="153">
        <f>'Cost Worksheet 2'!$F$8*G61</f>
        <v>0</v>
      </c>
      <c r="I61" s="153">
        <f>'Cost Worksheet 2'!$H$16*G61</f>
        <v>47.1655328798186</v>
      </c>
      <c r="J61" s="153">
        <f>'Cost Worksheet 2'!$H$26*G61</f>
        <v>120.15534183021869</v>
      </c>
      <c r="K61" s="153">
        <f>'Cost Worksheet 2'!$I$41*G61</f>
        <v>31.386149687577642</v>
      </c>
      <c r="L61" s="85">
        <f t="shared" si="24"/>
        <v>198.70702439761493</v>
      </c>
      <c r="M61" s="248">
        <f t="shared" si="25"/>
        <v>0.9935351219880747</v>
      </c>
      <c r="N61" s="62" t="e">
        <f>F61*#REF!</f>
        <v>#REF!</v>
      </c>
      <c r="O61" s="64" t="e">
        <f t="shared" si="23"/>
        <v>#REF!</v>
      </c>
      <c r="P61" s="65"/>
      <c r="Q61" s="65"/>
      <c r="R61" s="65"/>
      <c r="S61" s="65"/>
      <c r="T61" s="65"/>
    </row>
    <row r="62" spans="2:16" ht="11.25">
      <c r="B62" s="83" t="s">
        <v>28</v>
      </c>
      <c r="C62" s="108">
        <f>SUM(C8:C61)</f>
        <v>21220.8</v>
      </c>
      <c r="D62" s="109"/>
      <c r="E62" s="92"/>
      <c r="F62" s="218">
        <f>SUM(F51,F40,F29,F18,F7)</f>
        <v>3536.8</v>
      </c>
      <c r="G62" s="218">
        <f>SUM(G51,G40,G29,G18,G7)</f>
        <v>24.059863945578233</v>
      </c>
      <c r="H62" s="95">
        <f>SUM(H8:H61)</f>
        <v>4554.421768707483</v>
      </c>
      <c r="I62" s="95">
        <f>SUM(I8:I61)</f>
        <v>20594.020861678007</v>
      </c>
      <c r="J62" s="95">
        <f>SUM(J8:J61)</f>
        <v>12748.96238955352</v>
      </c>
      <c r="K62" s="95">
        <f>SUM(K8:K61)</f>
        <v>3330.1960264507375</v>
      </c>
      <c r="L62" s="96">
        <f>SUM(L8:L61)</f>
        <v>41227.60104638975</v>
      </c>
      <c r="M62" s="242"/>
      <c r="N62" s="62"/>
      <c r="O62" s="62"/>
      <c r="P62" s="62"/>
    </row>
    <row r="63" spans="2:15" ht="12" thickBot="1">
      <c r="B63" s="76"/>
      <c r="C63" s="77"/>
      <c r="D63" s="78"/>
      <c r="E63" s="77"/>
      <c r="F63" s="77"/>
      <c r="G63" s="79"/>
      <c r="H63" s="80"/>
      <c r="I63" s="80"/>
      <c r="J63" s="80"/>
      <c r="K63" s="80"/>
      <c r="L63" s="80"/>
      <c r="M63" s="249"/>
      <c r="N63" s="81" t="e">
        <f>SUM(N8:N61)</f>
        <v>#REF!</v>
      </c>
      <c r="O63" s="64" t="e">
        <f>SUM(O8:O61)</f>
        <v>#REF!</v>
      </c>
    </row>
    <row r="65" ht="11.25">
      <c r="O65" s="81" t="e">
        <f>SUM(N63:O63)</f>
        <v>#REF!</v>
      </c>
    </row>
    <row r="66" ht="11.25">
      <c r="N66" s="82" t="e">
        <f>SUM(#REF!)</f>
        <v>#REF!</v>
      </c>
    </row>
  </sheetData>
  <sheetProtection/>
  <mergeCells count="9">
    <mergeCell ref="L3:L5"/>
    <mergeCell ref="M3:M5"/>
    <mergeCell ref="B2:G2"/>
    <mergeCell ref="H3:I3"/>
    <mergeCell ref="C3:C4"/>
    <mergeCell ref="D3:D4"/>
    <mergeCell ref="E3:E4"/>
    <mergeCell ref="F3:F4"/>
    <mergeCell ref="G3:G4"/>
  </mergeCells>
  <printOptions horizontalCentered="1"/>
  <pageMargins left="0" right="0" top="0.12" bottom="0.51" header="0" footer="0.2"/>
  <pageSetup horizontalDpi="600" verticalDpi="600" orientation="landscape" paperSize="5" scale="80" r:id="rId2"/>
  <headerFooter alignWithMargins="0">
    <oddHeader>&amp;L&amp;"Times New Roman,Bold"&amp;12
</oddHeader>
    <oddFooter>&amp;C&amp;"Arial,Regular"&amp;9© 2010 Orient Point Consulting LLC, All rights reserved
http://orientpoint.com   (888) 444-2210</oddFooter>
  </headerFooter>
  <drawing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M44"/>
  <sheetViews>
    <sheetView zoomScalePageLayoutView="0" workbookViewId="0" topLeftCell="A13">
      <selection activeCell="B2" sqref="B2:F2"/>
    </sheetView>
  </sheetViews>
  <sheetFormatPr defaultColWidth="9.33203125" defaultRowHeight="12.75"/>
  <cols>
    <col min="1" max="1" width="3.83203125" style="15" customWidth="1"/>
    <col min="2" max="2" width="31.83203125" style="15" customWidth="1"/>
    <col min="3" max="3" width="20.33203125" style="15" customWidth="1"/>
    <col min="4" max="4" width="15.5" style="15" bestFit="1" customWidth="1"/>
    <col min="5" max="5" width="18.5" style="15" bestFit="1" customWidth="1"/>
    <col min="6" max="6" width="23.5" style="15" bestFit="1" customWidth="1"/>
    <col min="7" max="7" width="13" style="15" bestFit="1" customWidth="1"/>
    <col min="8" max="8" width="22.66015625" style="15" bestFit="1" customWidth="1"/>
    <col min="9" max="9" width="14.83203125" style="15" customWidth="1"/>
    <col min="10" max="43" width="9.66015625" style="15" customWidth="1"/>
    <col min="44" max="16384" width="9.33203125" style="15" customWidth="1"/>
  </cols>
  <sheetData>
    <row r="1" ht="41.25" customHeight="1">
      <c r="B1" s="89" t="s">
        <v>27</v>
      </c>
    </row>
    <row r="2" spans="2:9" ht="41.25" customHeight="1" thickBot="1">
      <c r="B2" s="279"/>
      <c r="C2" s="279"/>
      <c r="D2" s="279"/>
      <c r="E2" s="279"/>
      <c r="F2" s="279"/>
      <c r="G2" s="149"/>
      <c r="H2" s="148"/>
      <c r="I2" s="148"/>
    </row>
    <row r="3" spans="2:9" ht="12.75" customHeight="1" thickBot="1">
      <c r="B3" s="60" t="s">
        <v>19</v>
      </c>
      <c r="C3" s="61"/>
      <c r="D3" s="61"/>
      <c r="E3" s="61"/>
      <c r="F3" s="61"/>
      <c r="G3" s="61"/>
      <c r="H3" s="61"/>
      <c r="I3" s="59"/>
    </row>
    <row r="4" spans="2:9" ht="44.25" customHeight="1" thickBot="1">
      <c r="B4" s="1"/>
      <c r="C4" s="101" t="s">
        <v>7</v>
      </c>
      <c r="D4" s="115" t="s">
        <v>73</v>
      </c>
      <c r="E4" s="116" t="s">
        <v>20</v>
      </c>
      <c r="F4" s="117" t="s">
        <v>21</v>
      </c>
      <c r="G4" s="280" t="s">
        <v>37</v>
      </c>
      <c r="H4" s="281"/>
      <c r="I4" s="282"/>
    </row>
    <row r="5" spans="2:13" ht="12.75">
      <c r="B5" s="2" t="s">
        <v>18</v>
      </c>
      <c r="C5" s="3"/>
      <c r="D5" s="158">
        <v>0.3</v>
      </c>
      <c r="E5" s="4"/>
      <c r="F5" s="4"/>
      <c r="G5" s="5"/>
      <c r="H5" s="6"/>
      <c r="I5" s="7"/>
      <c r="K5" s="11"/>
      <c r="L5" s="11"/>
      <c r="M5" s="11"/>
    </row>
    <row r="6" spans="2:13" ht="12.75">
      <c r="B6" s="113" t="s">
        <v>66</v>
      </c>
      <c r="C6" s="114">
        <v>10000</v>
      </c>
      <c r="D6" s="86">
        <f aca="true" t="shared" si="0" ref="D6:D11">C6*$D$5</f>
        <v>3000</v>
      </c>
      <c r="E6" s="86">
        <f aca="true" t="shared" si="1" ref="E6:E11">SUM(C6:D6)</f>
        <v>13000</v>
      </c>
      <c r="F6" s="86">
        <f aca="true" t="shared" si="2" ref="F6:F11">E6/12</f>
        <v>1083.3333333333333</v>
      </c>
      <c r="G6" s="278"/>
      <c r="H6" s="278"/>
      <c r="I6" s="278"/>
      <c r="K6" s="16"/>
      <c r="L6" s="11"/>
      <c r="M6" s="11"/>
    </row>
    <row r="7" spans="2:13" ht="12.75">
      <c r="B7" s="113" t="s">
        <v>67</v>
      </c>
      <c r="C7" s="114">
        <v>20000</v>
      </c>
      <c r="D7" s="86">
        <f t="shared" si="0"/>
        <v>6000</v>
      </c>
      <c r="E7" s="86">
        <f t="shared" si="1"/>
        <v>26000</v>
      </c>
      <c r="F7" s="86">
        <f t="shared" si="2"/>
        <v>2166.6666666666665</v>
      </c>
      <c r="G7" s="283" t="s">
        <v>72</v>
      </c>
      <c r="H7" s="283"/>
      <c r="I7" s="283"/>
      <c r="K7" s="11"/>
      <c r="L7" s="17"/>
      <c r="M7" s="11"/>
    </row>
    <row r="8" spans="2:13" ht="12.75">
      <c r="B8" s="113" t="s">
        <v>68</v>
      </c>
      <c r="C8" s="114">
        <v>0</v>
      </c>
      <c r="D8" s="86">
        <f t="shared" si="0"/>
        <v>0</v>
      </c>
      <c r="E8" s="86">
        <f t="shared" si="1"/>
        <v>0</v>
      </c>
      <c r="F8" s="86">
        <f>E8/12</f>
        <v>0</v>
      </c>
      <c r="G8" s="278"/>
      <c r="H8" s="278"/>
      <c r="I8" s="278"/>
      <c r="K8" s="11"/>
      <c r="L8" s="18"/>
      <c r="M8" s="11"/>
    </row>
    <row r="9" spans="2:13" ht="12.75">
      <c r="B9" s="113" t="s">
        <v>69</v>
      </c>
      <c r="C9" s="114">
        <v>0</v>
      </c>
      <c r="D9" s="86">
        <f t="shared" si="0"/>
        <v>0</v>
      </c>
      <c r="E9" s="86">
        <f t="shared" si="1"/>
        <v>0</v>
      </c>
      <c r="F9" s="86">
        <f t="shared" si="2"/>
        <v>0</v>
      </c>
      <c r="G9" s="278"/>
      <c r="H9" s="278"/>
      <c r="I9" s="278"/>
      <c r="K9" s="11"/>
      <c r="L9" s="19"/>
      <c r="M9" s="11"/>
    </row>
    <row r="10" spans="2:13" ht="12.75">
      <c r="B10" s="113" t="s">
        <v>70</v>
      </c>
      <c r="C10" s="114">
        <v>0</v>
      </c>
      <c r="D10" s="86">
        <f t="shared" si="0"/>
        <v>0</v>
      </c>
      <c r="E10" s="86">
        <f t="shared" si="1"/>
        <v>0</v>
      </c>
      <c r="F10" s="86">
        <f t="shared" si="2"/>
        <v>0</v>
      </c>
      <c r="G10" s="278"/>
      <c r="H10" s="278"/>
      <c r="I10" s="278"/>
      <c r="K10" s="11"/>
      <c r="L10" s="19"/>
      <c r="M10" s="11"/>
    </row>
    <row r="11" spans="2:13" ht="12.75">
      <c r="B11" s="113" t="s">
        <v>71</v>
      </c>
      <c r="C11" s="114">
        <v>0</v>
      </c>
      <c r="D11" s="86">
        <f t="shared" si="0"/>
        <v>0</v>
      </c>
      <c r="E11" s="86">
        <f t="shared" si="1"/>
        <v>0</v>
      </c>
      <c r="F11" s="86">
        <f t="shared" si="2"/>
        <v>0</v>
      </c>
      <c r="G11" s="278"/>
      <c r="H11" s="278"/>
      <c r="I11" s="278"/>
      <c r="K11" s="11"/>
      <c r="L11" s="19"/>
      <c r="M11" s="11"/>
    </row>
    <row r="12" spans="2:13" ht="12.75" customHeight="1" thickBot="1">
      <c r="B12" s="22" t="s">
        <v>35</v>
      </c>
      <c r="C12" s="23"/>
      <c r="D12" s="24"/>
      <c r="E12" s="24"/>
      <c r="F12" s="25"/>
      <c r="G12" s="24"/>
      <c r="H12" s="24"/>
      <c r="I12" s="26"/>
      <c r="J12" s="11"/>
      <c r="K12" s="11"/>
      <c r="L12" s="11"/>
      <c r="M12" s="11"/>
    </row>
    <row r="13" spans="2:9" ht="12.75">
      <c r="B13" s="27"/>
      <c r="C13" s="28"/>
      <c r="D13" s="29" t="s">
        <v>36</v>
      </c>
      <c r="E13" s="30"/>
      <c r="F13" s="29" t="s">
        <v>34</v>
      </c>
      <c r="G13" s="30"/>
      <c r="H13" s="29" t="s">
        <v>17</v>
      </c>
      <c r="I13" s="31"/>
    </row>
    <row r="14" spans="2:9" ht="12.75">
      <c r="B14" s="5" t="s">
        <v>4</v>
      </c>
      <c r="C14" s="6"/>
      <c r="D14" s="97">
        <v>500</v>
      </c>
      <c r="E14" s="6"/>
      <c r="F14" s="98">
        <v>2.08</v>
      </c>
      <c r="G14" s="6"/>
      <c r="H14" s="99">
        <f>D14*F14</f>
        <v>1040</v>
      </c>
      <c r="I14" s="7"/>
    </row>
    <row r="15" spans="2:9" ht="12.75">
      <c r="B15" s="5" t="s">
        <v>13</v>
      </c>
      <c r="C15" s="6"/>
      <c r="D15" s="97">
        <v>300</v>
      </c>
      <c r="E15" s="6"/>
      <c r="F15" s="98">
        <v>2.08</v>
      </c>
      <c r="G15" s="6"/>
      <c r="H15" s="99">
        <f>D15*F15</f>
        <v>624</v>
      </c>
      <c r="I15" s="7"/>
    </row>
    <row r="16" spans="2:9" ht="13.5" thickBot="1">
      <c r="B16" s="1" t="s">
        <v>1</v>
      </c>
      <c r="C16" s="9"/>
      <c r="D16" s="97">
        <v>100</v>
      </c>
      <c r="E16" s="9"/>
      <c r="F16" s="98">
        <v>2.08</v>
      </c>
      <c r="G16" s="9"/>
      <c r="H16" s="99">
        <f>D16*F16</f>
        <v>208</v>
      </c>
      <c r="I16" s="10"/>
    </row>
    <row r="17" spans="2:13" ht="12.75" customHeight="1" thickBot="1">
      <c r="B17" s="22" t="s">
        <v>38</v>
      </c>
      <c r="C17" s="23"/>
      <c r="D17" s="24"/>
      <c r="E17" s="24"/>
      <c r="F17" s="24"/>
      <c r="G17" s="24"/>
      <c r="H17" s="24"/>
      <c r="I17" s="26"/>
      <c r="J17" s="11"/>
      <c r="K17" s="11"/>
      <c r="L17" s="11"/>
      <c r="M17" s="11"/>
    </row>
    <row r="18" spans="2:9" ht="12.75">
      <c r="B18" s="27"/>
      <c r="C18" s="28"/>
      <c r="D18" s="36"/>
      <c r="E18" s="28"/>
      <c r="F18" s="37"/>
      <c r="G18" s="28"/>
      <c r="H18" s="29" t="s">
        <v>17</v>
      </c>
      <c r="I18" s="31"/>
    </row>
    <row r="19" spans="2:9" ht="12.75">
      <c r="B19" s="38" t="s">
        <v>50</v>
      </c>
      <c r="C19" s="6"/>
      <c r="D19" s="32"/>
      <c r="E19" s="6"/>
      <c r="F19" s="33"/>
      <c r="G19" s="6"/>
      <c r="H19" s="125">
        <v>68000</v>
      </c>
      <c r="I19" s="7"/>
    </row>
    <row r="20" spans="2:9" ht="13.5" thickBot="1">
      <c r="B20" s="39" t="s">
        <v>22</v>
      </c>
      <c r="C20" s="9"/>
      <c r="D20" s="34"/>
      <c r="E20" s="9"/>
      <c r="F20" s="35"/>
      <c r="G20" s="9"/>
      <c r="H20" s="125">
        <v>12500</v>
      </c>
      <c r="I20" s="10"/>
    </row>
    <row r="21" spans="2:9" ht="12.75" customHeight="1" thickBot="1">
      <c r="B21" s="40" t="s">
        <v>26</v>
      </c>
      <c r="C21" s="24"/>
      <c r="D21" s="41"/>
      <c r="E21" s="24"/>
      <c r="F21" s="42"/>
      <c r="G21" s="24"/>
      <c r="H21" s="41"/>
      <c r="I21" s="26"/>
    </row>
    <row r="22" spans="2:11" ht="12.75">
      <c r="B22" s="27"/>
      <c r="C22" s="28"/>
      <c r="D22" s="121" t="s">
        <v>25</v>
      </c>
      <c r="E22" s="122" t="s">
        <v>24</v>
      </c>
      <c r="F22" s="123" t="s">
        <v>16</v>
      </c>
      <c r="G22" s="123" t="s">
        <v>15</v>
      </c>
      <c r="H22" s="122" t="s">
        <v>17</v>
      </c>
      <c r="I22" s="43"/>
      <c r="J22" s="11"/>
      <c r="K22" s="11"/>
    </row>
    <row r="23" spans="2:11" ht="12.75">
      <c r="B23" s="277" t="s">
        <v>4</v>
      </c>
      <c r="C23" s="277"/>
      <c r="D23" s="99">
        <f>E33</f>
        <v>229.88505747126436</v>
      </c>
      <c r="E23" s="124">
        <v>100</v>
      </c>
      <c r="F23" s="124">
        <v>100</v>
      </c>
      <c r="G23" s="124">
        <v>100</v>
      </c>
      <c r="H23" s="126">
        <f>SUM(D23:G23)</f>
        <v>529.8850574712644</v>
      </c>
      <c r="I23" s="44"/>
      <c r="J23" s="11"/>
      <c r="K23" s="11"/>
    </row>
    <row r="24" spans="2:11" ht="12.75">
      <c r="B24" s="277" t="s">
        <v>13</v>
      </c>
      <c r="C24" s="277"/>
      <c r="D24" s="99">
        <f>E33</f>
        <v>229.88505747126436</v>
      </c>
      <c r="E24" s="124">
        <v>100</v>
      </c>
      <c r="F24" s="124">
        <v>100</v>
      </c>
      <c r="G24" s="124">
        <v>100</v>
      </c>
      <c r="H24" s="126">
        <f>SUM(D24:G24)</f>
        <v>529.8850574712644</v>
      </c>
      <c r="I24" s="44"/>
      <c r="J24" s="11"/>
      <c r="K24" s="11"/>
    </row>
    <row r="25" spans="2:11" ht="12.75">
      <c r="B25" s="277" t="s">
        <v>0</v>
      </c>
      <c r="C25" s="277"/>
      <c r="D25" s="99">
        <f>E33</f>
        <v>229.88505747126436</v>
      </c>
      <c r="E25" s="124">
        <v>100</v>
      </c>
      <c r="F25" s="124">
        <v>100</v>
      </c>
      <c r="G25" s="124">
        <v>100</v>
      </c>
      <c r="H25" s="126">
        <f>SUM(D25:G25)</f>
        <v>529.8850574712644</v>
      </c>
      <c r="I25" s="44"/>
      <c r="J25" s="11"/>
      <c r="K25" s="11"/>
    </row>
    <row r="26" spans="2:11" ht="13.5" thickBot="1">
      <c r="B26" s="277" t="s">
        <v>1</v>
      </c>
      <c r="C26" s="277"/>
      <c r="D26" s="99">
        <f>E33</f>
        <v>229.88505747126436</v>
      </c>
      <c r="E26" s="124">
        <v>100</v>
      </c>
      <c r="F26" s="124">
        <v>100</v>
      </c>
      <c r="G26" s="124">
        <v>100</v>
      </c>
      <c r="H26" s="126">
        <f>SUM(D26:G26)</f>
        <v>529.8850574712644</v>
      </c>
      <c r="I26" s="44"/>
      <c r="J26" s="11"/>
      <c r="K26" s="11"/>
    </row>
    <row r="27" spans="2:9" ht="12.75" customHeight="1" thickBot="1">
      <c r="B27" s="132" t="s">
        <v>23</v>
      </c>
      <c r="C27" s="119"/>
      <c r="D27" s="118"/>
      <c r="E27" s="119"/>
      <c r="F27" s="120"/>
      <c r="G27" s="119"/>
      <c r="H27" s="119"/>
      <c r="I27" s="47"/>
    </row>
    <row r="28" spans="2:9" ht="12.75">
      <c r="B28" s="38"/>
      <c r="C28" s="6"/>
      <c r="D28" s="58" t="s">
        <v>5</v>
      </c>
      <c r="E28" s="13"/>
      <c r="F28" s="32"/>
      <c r="G28" s="13"/>
      <c r="H28" s="32"/>
      <c r="I28" s="7"/>
    </row>
    <row r="29" spans="2:9" ht="12.75">
      <c r="B29" s="38" t="s">
        <v>30</v>
      </c>
      <c r="C29" s="6"/>
      <c r="D29" s="124">
        <v>2000</v>
      </c>
      <c r="E29" s="13"/>
      <c r="G29" s="13"/>
      <c r="H29" s="32"/>
      <c r="I29" s="7"/>
    </row>
    <row r="30" spans="2:9" ht="12.75">
      <c r="B30" s="38" t="s">
        <v>31</v>
      </c>
      <c r="C30" s="6"/>
      <c r="D30" s="124">
        <v>10000</v>
      </c>
      <c r="E30" s="13"/>
      <c r="F30" s="32"/>
      <c r="G30" s="13"/>
      <c r="H30" s="32"/>
      <c r="I30" s="7"/>
    </row>
    <row r="31" spans="2:9" ht="12.75">
      <c r="B31" s="38" t="s">
        <v>32</v>
      </c>
      <c r="C31" s="6"/>
      <c r="D31" s="124">
        <v>5000</v>
      </c>
      <c r="E31" s="13"/>
      <c r="F31" s="32"/>
      <c r="G31" s="13"/>
      <c r="H31" s="32"/>
      <c r="I31" s="7"/>
    </row>
    <row r="32" spans="1:9" s="11" customFormat="1" ht="12.75">
      <c r="A32" s="12"/>
      <c r="B32" s="38" t="s">
        <v>33</v>
      </c>
      <c r="C32" s="6"/>
      <c r="D32" s="135">
        <v>3000</v>
      </c>
      <c r="E32" s="13"/>
      <c r="F32" s="8"/>
      <c r="G32" s="48"/>
      <c r="H32" s="48"/>
      <c r="I32" s="7"/>
    </row>
    <row r="33" spans="1:9" ht="13.5" thickBot="1">
      <c r="A33" s="12"/>
      <c r="B33" s="38"/>
      <c r="C33" s="6"/>
      <c r="D33" s="133">
        <f>SUM(D29:D32)</f>
        <v>20000</v>
      </c>
      <c r="E33" s="133">
        <f>D33/87</f>
        <v>229.88505747126436</v>
      </c>
      <c r="F33" s="8"/>
      <c r="G33" s="48"/>
      <c r="H33" s="32"/>
      <c r="I33" s="49"/>
    </row>
    <row r="34" spans="2:9" ht="13.5" thickBot="1">
      <c r="B34" s="50" t="s">
        <v>120</v>
      </c>
      <c r="C34" s="45"/>
      <c r="D34" s="118"/>
      <c r="E34" s="134"/>
      <c r="F34" s="46"/>
      <c r="G34" s="51"/>
      <c r="H34" s="46"/>
      <c r="I34" s="47"/>
    </row>
    <row r="35" spans="2:10" ht="45" customHeight="1">
      <c r="B35" s="27"/>
      <c r="C35" s="28"/>
      <c r="D35" s="127" t="s">
        <v>8</v>
      </c>
      <c r="E35" s="127" t="s">
        <v>9</v>
      </c>
      <c r="F35" s="127" t="s">
        <v>10</v>
      </c>
      <c r="G35" s="127" t="s">
        <v>11</v>
      </c>
      <c r="H35" s="127" t="s">
        <v>6</v>
      </c>
      <c r="I35" s="128" t="s">
        <v>39</v>
      </c>
      <c r="J35" s="11"/>
    </row>
    <row r="36" spans="2:10" ht="12.75">
      <c r="B36" s="275" t="s">
        <v>4</v>
      </c>
      <c r="C36" s="276"/>
      <c r="D36" s="126">
        <f>F11</f>
        <v>0</v>
      </c>
      <c r="E36" s="126">
        <f>H14</f>
        <v>1040</v>
      </c>
      <c r="F36" s="126">
        <f>$H$23</f>
        <v>529.8850574712644</v>
      </c>
      <c r="G36" s="126">
        <f>SUM(D36:F36)</f>
        <v>1569.8850574712644</v>
      </c>
      <c r="H36" s="136">
        <v>1</v>
      </c>
      <c r="I36" s="126">
        <f>G36*H36</f>
        <v>1569.8850574712644</v>
      </c>
      <c r="J36" s="11"/>
    </row>
    <row r="37" spans="2:10" ht="12.75">
      <c r="B37" s="5" t="s">
        <v>14</v>
      </c>
      <c r="C37" s="6"/>
      <c r="D37" s="126">
        <f>F10</f>
        <v>0</v>
      </c>
      <c r="E37" s="126">
        <f>H15</f>
        <v>624</v>
      </c>
      <c r="F37" s="126">
        <f>H24</f>
        <v>529.8850574712644</v>
      </c>
      <c r="G37" s="126">
        <f>SUM(D37:F37)</f>
        <v>1153.8850574712644</v>
      </c>
      <c r="H37" s="136">
        <v>3</v>
      </c>
      <c r="I37" s="126">
        <f>G37*H37</f>
        <v>3461.6551724137935</v>
      </c>
      <c r="J37" s="11"/>
    </row>
    <row r="38" spans="2:10" ht="12.75">
      <c r="B38" s="5" t="s">
        <v>0</v>
      </c>
      <c r="C38" s="6"/>
      <c r="D38" s="137">
        <f>$F$9</f>
        <v>0</v>
      </c>
      <c r="E38" s="137">
        <f>H16</f>
        <v>208</v>
      </c>
      <c r="F38" s="137">
        <f>$H$25</f>
        <v>529.8850574712644</v>
      </c>
      <c r="G38" s="137">
        <f>SUM(D38:F38)</f>
        <v>737.8850574712644</v>
      </c>
      <c r="H38" s="138">
        <v>8</v>
      </c>
      <c r="I38" s="137">
        <f>G38*H38</f>
        <v>5903.080459770115</v>
      </c>
      <c r="J38" s="11"/>
    </row>
    <row r="39" spans="2:10" ht="12.75">
      <c r="B39" s="5" t="s">
        <v>3</v>
      </c>
      <c r="C39" s="6"/>
      <c r="D39" s="133">
        <f aca="true" t="shared" si="3" ref="D39:I39">SUM(D36:D38)</f>
        <v>0</v>
      </c>
      <c r="E39" s="133">
        <f t="shared" si="3"/>
        <v>1872</v>
      </c>
      <c r="F39" s="133">
        <f t="shared" si="3"/>
        <v>1589.6551724137933</v>
      </c>
      <c r="G39" s="133">
        <f t="shared" si="3"/>
        <v>3461.6551724137935</v>
      </c>
      <c r="H39" s="139">
        <f t="shared" si="3"/>
        <v>12</v>
      </c>
      <c r="I39" s="133">
        <f t="shared" si="3"/>
        <v>10934.620689655174</v>
      </c>
      <c r="J39" s="11"/>
    </row>
    <row r="40" spans="2:10" ht="15" customHeight="1">
      <c r="B40" s="52" t="s">
        <v>77</v>
      </c>
      <c r="C40" s="6"/>
      <c r="D40" s="53"/>
      <c r="E40" s="53"/>
      <c r="F40" s="13"/>
      <c r="G40" s="54"/>
      <c r="H40" s="129">
        <f>87-H36-H37-(H38*50%)</f>
        <v>79</v>
      </c>
      <c r="I40" s="55"/>
      <c r="J40" s="11"/>
    </row>
    <row r="41" spans="2:10" ht="15" customHeight="1" thickBot="1">
      <c r="B41" s="160" t="s">
        <v>75</v>
      </c>
      <c r="C41" s="131"/>
      <c r="D41" s="131"/>
      <c r="E41" s="9"/>
      <c r="F41" s="14"/>
      <c r="G41" s="14"/>
      <c r="H41" s="14"/>
      <c r="I41" s="130">
        <f>I39/H40</f>
        <v>138.4129201222174</v>
      </c>
      <c r="J41" s="11"/>
    </row>
    <row r="42" spans="2:9" ht="14.25" customHeight="1">
      <c r="B42" s="6"/>
      <c r="C42" s="56"/>
      <c r="D42" s="56"/>
      <c r="E42" s="56"/>
      <c r="F42" s="56"/>
      <c r="G42" s="56"/>
      <c r="H42" s="56"/>
      <c r="I42" s="56"/>
    </row>
    <row r="43" spans="2:9" ht="12.75">
      <c r="B43" s="56"/>
      <c r="C43" s="57"/>
      <c r="D43" s="56"/>
      <c r="E43" s="56"/>
      <c r="F43" s="56"/>
      <c r="G43" s="56"/>
      <c r="H43" s="56"/>
      <c r="I43" s="56"/>
    </row>
    <row r="44" spans="3:7" ht="11.25">
      <c r="C44" s="20"/>
      <c r="G44" s="21"/>
    </row>
  </sheetData>
  <sheetProtection/>
  <mergeCells count="13">
    <mergeCell ref="G10:I10"/>
    <mergeCell ref="G11:I11"/>
    <mergeCell ref="B36:C36"/>
    <mergeCell ref="B23:C23"/>
    <mergeCell ref="B24:C24"/>
    <mergeCell ref="B25:C25"/>
    <mergeCell ref="B26:C26"/>
    <mergeCell ref="B2:F2"/>
    <mergeCell ref="G4:I4"/>
    <mergeCell ref="G6:I6"/>
    <mergeCell ref="G7:I7"/>
    <mergeCell ref="G8:I8"/>
    <mergeCell ref="G9:I9"/>
  </mergeCells>
  <printOptions horizontalCentered="1"/>
  <pageMargins left="0.49" right="0.25" top="0.31" bottom="0.51" header="0.18" footer="0.33"/>
  <pageSetup fitToHeight="1" fitToWidth="1" horizontalDpi="300" verticalDpi="300" orientation="landscape" scale="77" r:id="rId2"/>
  <headerFooter alignWithMargins="0">
    <oddFooter>&amp;C&amp;"Arial,Regular"&amp;9© 2010 Orient Point Consulting LLC, All rights reserved
http://orientpoint.com   (888) 444-2210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Staffing Plan Template</dc:title>
  <dc:subject/>
  <dc:creator>SRIKANTH REDDY</dc:creator>
  <cp:keywords/>
  <dc:description/>
  <cp:lastModifiedBy>SRIKANTH REDDY</cp:lastModifiedBy>
  <cp:lastPrinted>2011-10-27T19:15:51Z</cp:lastPrinted>
  <dcterms:created xsi:type="dcterms:W3CDTF">1999-03-09T22:31:18Z</dcterms:created>
  <dcterms:modified xsi:type="dcterms:W3CDTF">2016-01-14T09:49:49Z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
    <vt:lpwstr>Orient Point Consulting LLC</vt:lpwstr>
  </property>
  <property fmtid="{D5CDD505-2E9C-101B-9397-08002B2CF9AE}" pid="3" name="Copyright">
    <vt:lpwstr>Copyright 2002 Orient Point Consulting LLC All rights reserved</vt:lpwstr>
  </property>
  <property fmtid="{D5CDD505-2E9C-101B-9397-08002B2CF9AE}" pid="4" name="Telephone number">
    <vt:lpwstr>(888) 444-2210  client.services@orientpoint.com</vt:lpwstr>
  </property>
  <property fmtid="{D5CDD505-2E9C-101B-9397-08002B2CF9AE}" pid="5" name="Date completed">
    <vt:lpwstr>First version July 22, 1998</vt:lpwstr>
  </property>
  <property fmtid="{D5CDD505-2E9C-101B-9397-08002B2CF9AE}" pid="6" name="Contact email">
    <vt:lpwstr>client.services@orientpoint.com</vt:lpwstr>
  </property>
</Properties>
</file>