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omments3.xml" ContentType="application/vnd.openxmlformats-officedocument.spreadsheetml.comments+xml"/>
  <Override PartName="/xl/drawings/drawing7.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drawings/vmlDrawing2.vml" ContentType="application/vnd.openxmlformats-officedocument.vmlDrawing"/>
  <Override PartName="/xl/drawings/drawing3.xml" ContentType="application/vnd.openxmlformats-officedocument.drawing+xml"/>
  <Override PartName="/xl/drawings/_rels/drawing1.xml.rels" ContentType="application/vnd.openxmlformats-package.relationships+xml"/>
  <Override PartName="/xl/drawings/vmlDrawing1.vml" ContentType="application/vnd.openxmlformats-officedocument.vmlDrawing"/>
  <Override PartName="/xl/drawings/drawing2.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omments7.xml" ContentType="application/vnd.openxmlformats-officedocument.spreadsheetml.comments+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14.xml" ContentType="application/vnd.openxmlformats-officedocument.spreadsheetml.worksheet+xml"/>
  <Override PartName="/xl/worksheets/_rels/sheet17.xml.rels" ContentType="application/vnd.openxmlformats-package.relationships+xml"/>
  <Override PartName="/xl/worksheets/_rels/sheet16.xml.rels" ContentType="application/vnd.openxmlformats-package.relationships+xml"/>
  <Override PartName="/xl/worksheets/_rels/sheet15.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1.xml.rels" ContentType="application/vnd.openxmlformats-package.relationships+xml"/>
  <Override PartName="/xl/worksheets/_rels/sheet1.xml.rels" ContentType="application/vnd.openxmlformats-package.relationships+xml"/>
  <Override PartName="/xl/worksheets/sheet4.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3.xml" ContentType="application/vnd.openxmlformats-officedocument.spreadsheetml.worksheet+xml"/>
  <Override PartName="/xl/worksheets/sheet20.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media/image1.png" ContentType="image/png"/>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801" firstSheet="0" activeTab="3"/>
  </bookViews>
  <sheets>
    <sheet name="Directions" sheetId="1" state="visible" r:id="rId2"/>
    <sheet name="1-StartingPoint" sheetId="2" state="visible" r:id="rId3"/>
    <sheet name="2a-PayrollYear1" sheetId="3" state="visible" r:id="rId4"/>
    <sheet name="2b-PayrollYrs1-3" sheetId="4" state="visible" r:id="rId5"/>
    <sheet name="3a-SalesForecastYear1" sheetId="5" state="visible" r:id="rId6"/>
    <sheet name="3b-SalesForecastYrs1-3" sheetId="6" state="visible" r:id="rId7"/>
    <sheet name="4-AdditionalInputs" sheetId="7" state="visible" r:id="rId8"/>
    <sheet name="5a-OpExYear1" sheetId="8" state="visible" r:id="rId9"/>
    <sheet name="5b-OpExYrs1-3" sheetId="9" state="visible" r:id="rId10"/>
    <sheet name="6a-CashFlowYear1" sheetId="10" state="visible" r:id="rId11"/>
    <sheet name="6b-CashFlowYrs1-3" sheetId="11" state="visible" r:id="rId12"/>
    <sheet name="7a-IncomeStatementYear1" sheetId="12" state="visible" r:id="rId13"/>
    <sheet name="7b-IncomeStatementYrs1-3" sheetId="13" state="visible" r:id="rId14"/>
    <sheet name="8-BalanceSheet" sheetId="14" state="visible" r:id="rId15"/>
    <sheet name="BreakevenAnalysis" sheetId="15" state="visible" r:id="rId16"/>
    <sheet name="FinancialRatios" sheetId="16" state="visible" r:id="rId17"/>
    <sheet name="DiagnosticTools" sheetId="17" state="visible" r:id="rId18"/>
    <sheet name="COGS Calculator" sheetId="18" state="visible" r:id="rId19"/>
    <sheet name="Amortization&amp;Depreciation" sheetId="19" state="visible" r:id="rId20"/>
    <sheet name="Revision Notes" sheetId="20" state="visible" r:id="rId21"/>
  </sheets>
  <definedNames>
    <definedName function="false" hidden="false" localSheetId="1" name="_xlnm.Print_Area" vbProcedure="false">'1-StartingPoint'!$B$4:$H$52</definedName>
    <definedName function="false" hidden="false" localSheetId="2" name="_xlnm.Print_Area" vbProcedure="false">'2a-PayrollYear1'!$A$4:$R$25</definedName>
    <definedName function="false" hidden="false" localSheetId="3" name="_xlnm.Print_Area" vbProcedure="false">'2b-PayrollYrs1-3'!$B$4:$G$26</definedName>
    <definedName function="false" hidden="false" localSheetId="4" name="_xlnm.Print_Area" vbProcedure="false">'3a-SalesForecastYear1'!$B$4:$Q$55</definedName>
    <definedName function="false" hidden="false" localSheetId="5" name="_xlnm.Print_Area" vbProcedure="false">'3b-SalesForecastYrs1-3'!$A$4:$AF$49</definedName>
    <definedName function="false" hidden="false" localSheetId="5" name="_xlnm.Print_Titles" vbProcedure="false">'3b-SalesForecastYrs1-3'!$A:$A</definedName>
    <definedName function="false" hidden="false" localSheetId="6" name="_xlnm.Print_Area" vbProcedure="false">'4-AdditionalInputs'!$B$4:$R$44</definedName>
    <definedName function="false" hidden="false" localSheetId="7" name="_xlnm.Print_Area" vbProcedure="false">'5a-OpExYear1'!$B$4:$O$38</definedName>
    <definedName function="false" hidden="false" localSheetId="8" name="_xlnm.Print_Area" vbProcedure="false">'5b-OpExYrs1-3'!$B$4:$G$36</definedName>
    <definedName function="false" hidden="false" localSheetId="9" name="_xlnm.Print_Area" vbProcedure="false">'6a-CashFlowYear1'!$B$4:$O$34</definedName>
    <definedName function="false" hidden="false" localSheetId="10" name="_xlnm.Print_Area" vbProcedure="false">'6b-CashFlowYrs1-3'!$A$3:$AB$33</definedName>
    <definedName function="false" hidden="false" localSheetId="10" name="_xlnm.Print_Titles" vbProcedure="false">'6b-CashFlowYrs1-3'!$A:$A</definedName>
    <definedName function="false" hidden="false" localSheetId="11" name="_xlnm.Print_Area" vbProcedure="false">'7a-IncomeStatementYear1'!$B$4:$O$60</definedName>
    <definedName function="false" hidden="false" localSheetId="12" name="_xlnm.Print_Area" vbProcedure="false">'7b-IncomeStatementYrs1-3'!$B$4:$H$59</definedName>
    <definedName function="false" hidden="false" localSheetId="13" name="_xlnm.Print_Area" vbProcedure="false">'8-BalanceSheet'!$C$4:$F$46</definedName>
    <definedName function="false" hidden="false" localSheetId="18" name="_xlnm.Print_Area" vbProcedure="false">'Amortization&amp;Depreciation'!$B$4:$O$156</definedName>
    <definedName function="false" hidden="false" localSheetId="14" name="_xlnm.Print_Area" vbProcedure="false">BreakevenAnalysis!$B$4:$C$20</definedName>
    <definedName function="false" hidden="false" localSheetId="17" name="_xlnm.Print_Area" vbProcedure="false">'COGS Calculator'!$B$4:$C$26</definedName>
    <definedName function="false" hidden="false" localSheetId="16" name="_xlnm.Print_Area" vbProcedure="false">DiagnosticTools!$B$4:$D$36</definedName>
    <definedName function="false" hidden="false" localSheetId="0" name="_xlnm.Print_Area" vbProcedure="false">Directions!$A$1:$H$40</definedName>
    <definedName function="false" hidden="false" localSheetId="15" name="_xlnm.Print_Area" vbProcedure="false">FinancialRatios!$B$4:$G$28</definedName>
    <definedName function="false" hidden="false" name="AddLoans" vbProcedure="false">'1-StartingPoint'!$D$36</definedName>
    <definedName function="false" hidden="false" name="Advertising" vbProcedure="false">'1-StartingPoint'!$C$26</definedName>
    <definedName function="false" hidden="false" name="Annual_Interest_Rate" vbProcedure="false">#ref!</definedName>
    <definedName function="false" hidden="false" name="Beg_Bal" vbProcedure="false">#ref!</definedName>
    <definedName function="false" hidden="false" name="Buildings" vbProcedure="false">'1-StartingPoint'!$C$10</definedName>
    <definedName function="false" hidden="false" name="Category1" vbProcedure="false">'3a-SalesForecastYear1'!$B$9</definedName>
    <definedName function="false" hidden="false" name="Category1_Annual_Sales" vbProcedure="false">'3a-SalesForecastYear1'!$O$19</definedName>
    <definedName function="false" hidden="false" name="Category1_SalesPrice" vbProcedure="false">'3a-salesforecastyear1'!#ref!</definedName>
    <definedName function="false" hidden="false" name="Category2" vbProcedure="false">'3a-SalesForecastYear1'!$B$10</definedName>
    <definedName function="false" hidden="false" name="Category2_Annual_Sales" vbProcedure="false">'3a-SalesForecastYear1'!$O$25</definedName>
    <definedName function="false" hidden="false" name="Category2_SalesPrice" vbProcedure="false">'3a-salesforecastyear1'!#ref!</definedName>
    <definedName function="false" hidden="false" name="Category3" vbProcedure="false">'3a-SalesForecastYear1'!$B$11</definedName>
    <definedName function="false" hidden="false" name="Category3_Annual_Sales" vbProcedure="false">'3a-SalesForecastYear1'!$O$31</definedName>
    <definedName function="false" hidden="false" name="Category3_SalesPrice" vbProcedure="false">'3a-salesforecastyear1'!#ref!</definedName>
    <definedName function="false" hidden="false" name="Category4" vbProcedure="false">'3a-SalesForecastYear1'!$B$12</definedName>
    <definedName function="false" hidden="false" name="Category4_Annual_Sales" vbProcedure="false">'3a-SalesForecastYear1'!$O$37</definedName>
    <definedName function="false" hidden="false" name="Category4_SalesPrice" vbProcedure="false">'3a-salesforecastyear1'!#ref!</definedName>
    <definedName function="false" hidden="false" name="Category5" vbProcedure="false">'3a-SalesForecastYear1'!$B$13</definedName>
    <definedName function="false" hidden="false" name="Category5_Annual_Sales" vbProcedure="false">'3a-SalesForecastYear1'!$O$43</definedName>
    <definedName function="false" hidden="false" name="Category5_SalesPrice" vbProcedure="false">'3a-salesforecastyear1'!#ref!</definedName>
    <definedName function="false" hidden="false" name="Category6" vbProcedure="false">'3a-SalesForecastYear1'!$B$14</definedName>
    <definedName function="false" hidden="false" name="Category6_Annual_Sales" vbProcedure="false">'3a-SalesForecastYear1'!$O$49</definedName>
    <definedName function="false" hidden="false" name="Category6_SalesPrice" vbProcedure="false">'3a-salesforecastyear1'!#ref!</definedName>
    <definedName function="false" hidden="false" name="Catergory6" vbProcedure="false">'3a-SalesForecastYear1'!$B$14</definedName>
    <definedName function="false" hidden="false" name="CCDebt" vbProcedure="false">'1-StartingPoint'!$D$39</definedName>
    <definedName function="false" hidden="false" name="COGS_Annual_Total" vbProcedure="false">'3a-SalesForecastYear1'!$O$54</definedName>
    <definedName function="false" hidden="false" name="CommLoan" vbProcedure="false">'1-StartingPoint'!$D$37</definedName>
    <definedName function="false" hidden="false" name="CommMortgage" vbProcedure="false">'1-StartingPoint'!$D$38</definedName>
    <definedName function="false" hidden="false" name="ContingencyCash" vbProcedure="false">'1-startingpoint'!#ref!</definedName>
    <definedName function="false" hidden="false" name="Equipment" vbProcedure="false">'1-StartingPoint'!$C$12</definedName>
    <definedName function="false" hidden="false" name="Extra_Pay" vbProcedure="false">#ref!</definedName>
    <definedName function="false" hidden="false" name="Furniture" vbProcedure="false">'1-StartingPoint'!$C$13</definedName>
    <definedName function="false" hidden="false" name="Growth_Rate_Yr2" vbProcedure="false">'3b-SalesForecastYrs1-3'!$C$7</definedName>
    <definedName function="false" hidden="false" name="Growth_Rate_Yr3" vbProcedure="false">'3b-SalesForecastYrs1-3'!$C$8</definedName>
    <definedName function="false" hidden="false" name="Info_Entered" vbProcedure="false">#ref!</definedName>
    <definedName function="false" hidden="false" name="Int" vbProcedure="false">#ref!</definedName>
    <definedName function="false" hidden="false" name="InterestRate_ShortTerm" vbProcedure="false">#ref!</definedName>
    <definedName function="false" hidden="false" name="Inventory" vbProcedure="false">'1-StartingPoint'!$C$21</definedName>
    <definedName function="false" hidden="false" name="Land" vbProcedure="false">'1-StartingPoint'!$C$9</definedName>
    <definedName function="false" hidden="false" name="Last_Row" vbProcedure="false">IF(Values_Entered,header_row+Number_of_Payments,header_row)</definedName>
    <definedName function="false" hidden="false" name="Values_Entered" vbProcedure="false">IF(Loan_Amount*interest_rate*loan_years*loan_start&gt;0,1,0)</definedName>
    <definedName function="false" hidden="false" name="Loan_Amount" vbProcedure="false">#ref!</definedName>
    <definedName function="false" hidden="false" name="Number_of_Payments" vbProcedure="false">MATCH(0.01,end_bal,-1)+1</definedName>
    <definedName function="false" hidden="false" name="LeaseImprovements" vbProcedure="false">'1-StartingPoint'!$C$11</definedName>
    <definedName function="false" hidden="false" name="LegalAcctFees" vbProcedure="false">'1-StartingPoint'!$C$22</definedName>
    <definedName function="false" hidden="false" name="Licenses" vbProcedure="false">'1-StartingPoint'!$C$27</definedName>
    <definedName function="false" hidden="false" name="LoanAmount_ShortTerm" vbProcedure="false">#ref!</definedName>
    <definedName function="false" hidden="false" name="LoanTermYears_ShortTerm" vbProcedure="false">#ref!</definedName>
    <definedName function="false" hidden="false" name="Loan_Term_Years" vbProcedure="false">#ref!</definedName>
    <definedName function="false" hidden="false" name="Margin_Annual_Total" vbProcedure="false">'3a-SalesForecastYear1'!$O$55</definedName>
    <definedName function="false" hidden="false" name="Misc_Expenses" vbProcedure="false">'5a-OpExYear1'!$O$19</definedName>
    <definedName function="false" hidden="false" name="Monthly_Payment_LongTerm" vbProcedure="false">#ref!</definedName>
    <definedName function="false" hidden="false" name="NetIncomeY1" vbProcedure="false">'7b-IncomeStatementYrs1-3'!$C$59</definedName>
    <definedName function="false" hidden="false" name="NetIncomeY2" vbProcedure="false">'7b-IncomeStatementYrs1-3'!$E$59</definedName>
    <definedName function="false" hidden="false" name="NetIncomeY3" vbProcedure="false">'7b-IncomeStatementYrs1-3'!$G$59</definedName>
    <definedName function="false" hidden="false" name="OfficeSupplies_Expenses" vbProcedure="false">'5a-OpExYear1'!$O$20</definedName>
    <definedName function="false" hidden="false" name="OtherBankDebt" vbProcedure="false">'1-StartingPoint'!$D$41</definedName>
    <definedName function="false" hidden="false" name="OtherFixedAssets" vbProcedure="false">'1-StartingPoint'!$C$15</definedName>
    <definedName function="false" hidden="false" name="OtherStartUp" vbProcedure="false">'1-StartingPoint'!$C$28</definedName>
    <definedName function="false" hidden="false" name="Other_Expenses" vbProcedure="false">'5a-OpExYear1'!$O$21</definedName>
    <definedName function="false" hidden="false" name="OutsideInvest" vbProcedure="false">'1-StartingPoint'!$D$35</definedName>
    <definedName function="false" hidden="false" name="OwnerEquity" vbProcedure="false">'1-StartingPoint'!$D$34</definedName>
    <definedName function="false" hidden="false" name="Payments_per_Year" vbProcedure="false">#ref!</definedName>
    <definedName function="false" hidden="false" name="Pay_Num" vbProcedure="false">#ref!</definedName>
    <definedName function="false" hidden="false" name="PreOpenWages" vbProcedure="false">'1-StartingPoint'!$C$19</definedName>
    <definedName function="false" hidden="false" name="PrepaidInsurance" vbProcedure="false">'1-StartingPoint'!$C$20</definedName>
    <definedName function="false" hidden="false" name="PricePerUnit_Annual_Total" vbProcedure="false">'3a-salesforecastyear1'!#ref!</definedName>
    <definedName function="false" hidden="false" name="Princ" vbProcedure="false">#ref!</definedName>
    <definedName function="false" hidden="false" name="Projected_Yr2_COGS" vbProcedure="false">'3b-salesforecastyrs1-3'!#ref!</definedName>
    <definedName function="false" hidden="false" name="RentDeposit" vbProcedure="false">'1-StartingPoint'!$C$23</definedName>
    <definedName function="false" hidden="false" name="SalesForecast_yr1" vbProcedure="false">'3b-salesforecastyrs1-3'!#ref!</definedName>
    <definedName function="false" hidden="false" name="SalesForecast_yr2" vbProcedure="false">'3b-salesforecastyrs1-3'!#ref!</definedName>
    <definedName function="false" hidden="false" name="SalesForecast_yr3" vbProcedure="false">'3b-salesforecastyrs1-3'!#ref!</definedName>
    <definedName function="false" hidden="false" name="Sales_Annual_Total" vbProcedure="false">'3a-SalesForecastYear1'!$O$53</definedName>
    <definedName function="false" hidden="false" name="Scheduled_Extra_Payments" vbProcedure="false">#ref!</definedName>
    <definedName function="false" hidden="false" name="Scheduled_Monthly_Payment" vbProcedure="false">#ref!</definedName>
    <definedName function="false" hidden="false" name="Sched_Pay" vbProcedure="false">#ref!</definedName>
    <definedName function="false" hidden="false" name="Supplies" vbProcedure="false">'1-StartingPoint'!$C$25</definedName>
    <definedName function="false" hidden="false" name="TotalFixedAssets" vbProcedure="false">'1-StartingPoint'!$C$16</definedName>
    <definedName function="false" hidden="false" name="TotalFunding" vbProcedure="false">'1-StartingPoint'!$D$42</definedName>
    <definedName function="false" hidden="false" name="TotalOperatingCapital" vbProcedure="false">'1-StartingPoint'!$C$30</definedName>
    <definedName function="false" hidden="false" name="TotalRequiredFunds" vbProcedure="false">'1-StartingPoint'!$C$31</definedName>
    <definedName function="false" hidden="false" name="Total_Amount_Paid" vbProcedure="false">#ref!</definedName>
    <definedName function="false" hidden="false" name="Total_Fixed_Assets" vbProcedure="false">'1-StartingPoint'!$C$8:$C$15</definedName>
    <definedName function="false" hidden="false" name="Total_Interest_Paid" vbProcedure="false">#ref!</definedName>
    <definedName function="false" hidden="false" name="Total_Pay" vbProcedure="false">#ref!</definedName>
    <definedName function="false" hidden="false" name="Total_Payments_LongTerm" vbProcedure="false">#ref!</definedName>
    <definedName function="false" hidden="false" name="Unit1" vbProcedure="false">'3a-SalesForecastYear1'!$C$9</definedName>
    <definedName function="false" hidden="false" name="Unit1_Annual" vbProcedure="false">'3a-SalesForecastYear1'!$O$18</definedName>
    <definedName function="false" hidden="false" name="Unit1_Annual_Sales" vbProcedure="false">'3a-SalesForecastYear1'!$O$19</definedName>
    <definedName function="false" hidden="false" name="Unit2" vbProcedure="false">'3a-SalesForecastYear1'!$C$10</definedName>
    <definedName function="false" hidden="false" name="Unit2_Annual" vbProcedure="false">'3a-SalesForecastYear1'!$O$24</definedName>
    <definedName function="false" hidden="false" name="Unit2_Annual_Sales" vbProcedure="false">'3a-SalesForecastYear1'!$O$25</definedName>
    <definedName function="false" hidden="false" name="Unit3" vbProcedure="false">'3a-SalesForecastYear1'!$C$11</definedName>
    <definedName function="false" hidden="false" name="Unit3_Annual" vbProcedure="false">'3a-SalesForecastYear1'!$O$30</definedName>
    <definedName function="false" hidden="false" name="Unit3_Annual_Sales" vbProcedure="false">'3a-SalesForecastYear1'!$O$31</definedName>
    <definedName function="false" hidden="false" name="Unit4" vbProcedure="false">'3a-SalesForecastYear1'!$C$12</definedName>
    <definedName function="false" hidden="false" name="Unit4_Annual" vbProcedure="false">'3a-SalesForecastYear1'!$O$36</definedName>
    <definedName function="false" hidden="false" name="Unit5" vbProcedure="false">'3a-SalesForecastYear1'!$C$13</definedName>
    <definedName function="false" hidden="false" name="Unit5_Annual" vbProcedure="false">'3a-SalesForecastYear1'!$O$42</definedName>
    <definedName function="false" hidden="false" name="Unit6" vbProcedure="false">'3a-SalesForecastYear1'!$C$14</definedName>
    <definedName function="false" hidden="false" name="Unit6_Annual" vbProcedure="false">'3a-SalesForecastYear1'!$O$48</definedName>
    <definedName function="false" hidden="false" name="Units_Annual_Total" vbProcedure="false">'3a-SalesForecastYear1'!$O$52</definedName>
    <definedName function="false" hidden="false" name="UtilityDeposit" vbProcedure="false">'1-StartingPoint'!$C$24</definedName>
    <definedName function="false" hidden="false" name="VehicleLoan" vbProcedure="false">'1-StartingPoint'!$D$40</definedName>
    <definedName function="false" hidden="false" name="Vehicles" vbProcedure="false">'1-StartingPoint'!$C$14</definedName>
    <definedName function="false" hidden="false" name="WorkingCapital" vbProcedure="false">'1-StartingPoint'!$C$28</definedName>
    <definedName function="false" hidden="false" name="Working_Capital" vbProcedure="false">'1-StartingPoint'!$C$29</definedName>
    <definedName function="false" hidden="false" name="Y1EndingCashBal" vbProcedure="false">'6a-CashFlowYear1'!$N$33</definedName>
    <definedName function="false" hidden="false" name="YearlyPayments_ShortTerm" vbProcedure="false">#ref!</definedName>
    <definedName function="false" hidden="false" localSheetId="0" name="_xlnm.Print_Area" vbProcedure="false">Directions!$A$1:$H$40</definedName>
    <definedName function="false" hidden="false" localSheetId="1" name="_xlnm.Print_Area" vbProcedure="false">'1-StartingPoint'!$B$4:$H$52</definedName>
    <definedName function="false" hidden="false" localSheetId="2" name="_xlnm.Print_Area" vbProcedure="false">'2a-PayrollYear1'!$A$4:$R$25</definedName>
    <definedName function="false" hidden="false" localSheetId="3" name="_xlnm.Print_Area" vbProcedure="false">'2b-PayrollYrs1-3'!$B$4:$G$26</definedName>
    <definedName function="false" hidden="false" localSheetId="4" name="Hours" vbProcedure="false">'3a-SalesForecastYear1'!$C$9:$C$14</definedName>
    <definedName function="false" hidden="false" localSheetId="4" name="_xlnm.Print_Area" vbProcedure="false">'3a-SalesForecastYear1'!$B$4:$Q$55</definedName>
    <definedName function="false" hidden="false" localSheetId="5" name="_xlnm.Print_Area" vbProcedure="false">'3b-SalesForecastYrs1-3'!$A$4:$AF$49</definedName>
    <definedName function="false" hidden="false" localSheetId="5" name="_xlnm.Print_Titles" vbProcedure="false">'3b-SalesForecastYrs1-3'!$A:$A</definedName>
    <definedName function="false" hidden="false" localSheetId="6" name="_xlnm.Print_Area" vbProcedure="false">'4-AdditionalInputs'!$B$4:$R$44</definedName>
    <definedName function="false" hidden="false" localSheetId="7" name="_xlnm.Print_Area" vbProcedure="false">'5a-OpExYear1'!$B$4:$O$38</definedName>
    <definedName function="false" hidden="false" localSheetId="8" name="_xlnm.Print_Area" vbProcedure="false">'5b-OpExYrs1-3'!$B$4:$G$36</definedName>
    <definedName function="false" hidden="false" localSheetId="9" name="_xlnm.Print_Area" vbProcedure="false">'6a-CashFlowYear1'!$B$4:$O$34</definedName>
    <definedName function="false" hidden="false" localSheetId="10" name="_xlnm.Print_Area" vbProcedure="false">'6b-CashFlowYrs1-3'!$A$3:$AB$33</definedName>
    <definedName function="false" hidden="false" localSheetId="10" name="_xlnm.Print_Titles" vbProcedure="false">'6b-CashFlowYrs1-3'!$A:$A</definedName>
    <definedName function="false" hidden="false" localSheetId="11" name="_xlnm.Print_Area" vbProcedure="false">'7a-IncomeStatementYear1'!$B$4:$O$60</definedName>
    <definedName function="false" hidden="false" localSheetId="12" name="_xlnm.Print_Area" vbProcedure="false">'7b-IncomeStatementYrs1-3'!$B$4:$H$59</definedName>
    <definedName function="false" hidden="false" localSheetId="13" name="_xlnm.Print_Area" vbProcedure="false">'8-BalanceSheet'!$C$4:$F$46</definedName>
    <definedName function="false" hidden="false" localSheetId="14" name="_xlnm.Print_Area" vbProcedure="false">BreakevenAnalysis!$B$4:$C$20</definedName>
    <definedName function="false" hidden="false" localSheetId="15" name="_xlnm.Print_Area" vbProcedure="false">FinancialRatios!$B$4:$G$28</definedName>
    <definedName function="false" hidden="false" localSheetId="16" name="Annual_Interest_Rate" vbProcedure="false">#ref!</definedName>
    <definedName function="false" hidden="false" localSheetId="16" name="Beg_Bal" vbProcedure="false">#ref!</definedName>
    <definedName function="false" hidden="false" localSheetId="16" name="Extra_Pay" vbProcedure="false">#ref!</definedName>
    <definedName function="false" hidden="false" localSheetId="16" name="Info_Entered" vbProcedure="false">#ref!</definedName>
    <definedName function="false" hidden="false" localSheetId="16" name="Int" vbProcedure="false">#ref!</definedName>
    <definedName function="false" hidden="false" localSheetId="16" name="InterestRate_ShortTerm" vbProcedure="false">#ref!</definedName>
    <definedName function="false" hidden="false" localSheetId="16" name="Last_Row" vbProcedure="false">IF(diagnostictools!values_entered,header_row+diagnostictools!number_of_payments,header_row)</definedName>
    <definedName function="false" hidden="false" localSheetId="16" name="LoanAmount_ShortTerm" vbProcedure="false">#ref!</definedName>
    <definedName function="false" hidden="false" localSheetId="16" name="LoanTermYears_ShortTerm" vbProcedure="false">#ref!</definedName>
    <definedName function="false" hidden="false" localSheetId="16" name="Loan_Amount" vbProcedure="false">#ref!</definedName>
    <definedName function="false" hidden="false" localSheetId="16" name="Loan_Term_Years" vbProcedure="false">#ref!</definedName>
    <definedName function="false" hidden="false" localSheetId="16" name="Monthly_Payment_LongTerm" vbProcedure="false">#ref!</definedName>
    <definedName function="false" hidden="false" localSheetId="16" name="Number_of_Payments" vbProcedure="false">MATCH(0.01,end_bal,-1)+1</definedName>
    <definedName function="false" hidden="false" localSheetId="16" name="Payments_per_Year" vbProcedure="false">#ref!</definedName>
    <definedName function="false" hidden="false" localSheetId="16" name="Pay_Num" vbProcedure="false">#ref!</definedName>
    <definedName function="false" hidden="false" localSheetId="16" name="Princ" vbProcedure="false">#ref!</definedName>
    <definedName function="false" hidden="false" localSheetId="16" name="Scheduled_Extra_Payments" vbProcedure="false">#ref!</definedName>
    <definedName function="false" hidden="false" localSheetId="16" name="Scheduled_Monthly_Payment" vbProcedure="false">#ref!</definedName>
    <definedName function="false" hidden="false" localSheetId="16" name="Sched_Pay" vbProcedure="false">#ref!</definedName>
    <definedName function="false" hidden="false" localSheetId="16" name="Total_Amount_Paid" vbProcedure="false">#ref!</definedName>
    <definedName function="false" hidden="false" localSheetId="16" name="Total_Interest_Paid" vbProcedure="false">#ref!</definedName>
    <definedName function="false" hidden="false" localSheetId="16" name="Total_Pay" vbProcedure="false">#ref!</definedName>
    <definedName function="false" hidden="false" localSheetId="16" name="Total_Payments_LongTerm" vbProcedure="false">#ref!</definedName>
    <definedName function="false" hidden="false" localSheetId="16" name="Values_Entered" vbProcedure="false">IF(diagnostictools!loan_amount*interest_rate*loan_years*loan_start&gt;0,1,0)</definedName>
    <definedName function="false" hidden="false" localSheetId="16" name="YearlyPayments_ShortTerm" vbProcedure="false">#ref!</definedName>
    <definedName function="false" hidden="false" localSheetId="16" name="_xlnm.Print_Area" vbProcedure="false">DiagnosticTools!$B$4:$D$36</definedName>
    <definedName function="false" hidden="false" localSheetId="17" name="_xlnm.Print_Area" vbProcedure="false">'COGS Calculator'!$B$4:$C$26</definedName>
    <definedName function="false" hidden="false" localSheetId="18" name="_xlnm.Print_Area" vbProcedure="false">'Amortization&amp;Depreciation'!$B$4:$O$156</definedName>
  </definedNames>
  <calcPr iterateCount="100" refMode="A1" iterate="false" iterateDelta="0.0001"/>
</workbook>
</file>

<file path=xl/comments3.xml><?xml version="1.0" encoding="utf-8"?>
<comments xmlns="http://schemas.openxmlformats.org/spreadsheetml/2006/main" xmlns:xdr="http://schemas.openxmlformats.org/drawingml/2006/spreadsheetDrawing">
  <authors>
    <author/>
  </authors>
  <commentList>
    <comment ref="B14" authorId="0">
      <text>
        <r>
          <rPr>
            <sz val="11"/>
            <color rgb="FF000000"/>
            <rFont val="Gill Sans MT"/>
            <family val="2"/>
            <charset val="1"/>
          </rPr>
          <t xml:space="preserve">The Wage Base limit is the maximum earned gross income on which a given tax may be imposed. If you are paying a salary above that amount, you'll need to factor that into your calculation. The amounts below are for 2012.
</t>
        </r>
        <r>
          <rPr>
            <sz val="9"/>
            <color rgb="FF000000"/>
            <rFont val="Tahoma"/>
            <family val="2"/>
            <charset val="1"/>
          </rPr>
          <t xml:space="preserve">
</t>
        </r>
      </text>
    </comment>
    <comment ref="C15" authorId="0">
      <text>
        <r>
          <rPr>
            <sz val="9"/>
            <color rgb="FF000000"/>
            <rFont val="Tahoma"/>
            <family val="2"/>
            <charset val="1"/>
          </rPr>
          <t xml:space="preserve">This number will be an approximation of the FICA taxes. If the salaries of individuals exceed the wage base limit, this number will overstate the FICA tax and should be adjusted.
</t>
        </r>
      </text>
    </comment>
    <comment ref="C17" authorId="0">
      <text>
        <r>
          <rPr>
            <sz val="9"/>
            <color rgb="FF000000"/>
            <rFont val="Tahoma"/>
            <family val="2"/>
            <charset val="1"/>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0">
      <text>
        <r>
          <rPr>
            <sz val="9"/>
            <color rgb="FF000000"/>
            <rFont val="Tahoma"/>
            <family val="2"/>
            <charset val="1"/>
          </rPr>
          <t xml:space="preserve">Each state has different SUTA rates and wage base limits. Tailor this cell to reflect your state's information.
</t>
        </r>
      </text>
    </comment>
    <comment ref="E19" authorId="0">
      <text>
        <r>
          <rPr>
            <b val="true"/>
            <sz val="11"/>
            <color rgb="FF000000"/>
            <rFont val="Gill Sans MT"/>
            <family val="2"/>
            <charset val="1"/>
          </rPr>
          <t xml:space="preserve">
For these benefits, the formula assumes part-time employees are included. If this is not the case, change the formula accordingly.</t>
        </r>
      </text>
    </comment>
    <comment ref="E20" authorId="0">
      <text>
        <r>
          <rPr>
            <b val="true"/>
            <sz val="11"/>
            <color rgb="FF000000"/>
            <rFont val="Gill Sans MT"/>
            <family val="2"/>
            <charset val="1"/>
          </rPr>
          <t xml:space="preserve">
For these benefits, the formula assumes part-time employees are included. If this is not the case, change the formula accordingly</t>
        </r>
        <r>
          <rPr>
            <b val="true"/>
            <sz val="9"/>
            <color rgb="FF000000"/>
            <rFont val="Tahoma"/>
            <family val="2"/>
            <charset val="1"/>
          </rPr>
          <t xml:space="preserve">.
</t>
        </r>
      </text>
    </comment>
    <comment ref="E21" authorId="0">
      <text>
        <r>
          <rPr>
            <b val="true"/>
            <sz val="11"/>
            <color rgb="FF000000"/>
            <rFont val="Gill Sans MT"/>
            <family val="2"/>
            <charset val="1"/>
          </rPr>
          <t xml:space="preserve">
For these benefits, the formula assumes part-time employees are included. If this is not the case, change the formula accordingly</t>
        </r>
        <r>
          <rPr>
            <b val="true"/>
            <sz val="9"/>
            <color rgb="FF000000"/>
            <rFont val="Tahoma"/>
            <family val="2"/>
            <charset val="1"/>
          </rPr>
          <t xml:space="preserve">.
</t>
        </r>
      </text>
    </comment>
    <comment ref="E22" authorId="0">
      <text>
        <r>
          <rPr>
            <sz val="11"/>
            <color rgb="FF000000"/>
            <rFont val="Gill Sans MT"/>
            <family val="2"/>
            <charset val="1"/>
          </rPr>
          <t xml:space="preserve">
</t>
        </r>
        <r>
          <rPr>
            <b val="true"/>
            <sz val="11"/>
            <color rgb="FF000000"/>
            <rFont val="Gill Sans MT"/>
            <family val="2"/>
            <charset val="1"/>
          </rPr>
          <t xml:space="preserve">For these benefits, the formula assumes part-time employees are included. If this is not the case, change the formula accordingly.
</t>
        </r>
      </text>
    </comment>
    <comment ref="F8" authorId="0">
      <text>
        <r>
          <rPr>
            <sz val="10"/>
            <color rgb="FF000000"/>
            <rFont val="Gill Sans MT"/>
            <family val="2"/>
            <charset val="1"/>
          </rPr>
          <t xml:space="preserve">These cells have been auto-populated, but can be overwritten if your payroll expenses increase over time. To restore the auto-population, enter this formula in the cell: =F[insert row number]. For example, the first row in this section would use: =F8. 
</t>
        </r>
      </text>
    </comment>
  </commentList>
</comments>
</file>

<file path=xl/comments7.xml><?xml version="1.0" encoding="utf-8"?>
<comments xmlns="http://schemas.openxmlformats.org/spreadsheetml/2006/main" xmlns:xdr="http://schemas.openxmlformats.org/drawingml/2006/spreadsheetDrawing">
  <authors>
    <author/>
  </authors>
  <commentList>
    <comment ref="D24" authorId="0">
      <text>
        <r>
          <rPr>
            <b val="true"/>
            <sz val="9"/>
            <color rgb="FF000000"/>
            <rFont val="Tahoma"/>
            <family val="2"/>
            <charset val="1"/>
          </rPr>
          <t xml:space="preserve">How low do you want to let your ending cash balance to get? The minimum should be $0, but you might want to choose $1000, $5000, etc. 
</t>
        </r>
      </text>
    </comment>
  </commentList>
</comments>
</file>

<file path=xl/sharedStrings.xml><?xml version="1.0" encoding="utf-8"?>
<sst xmlns="http://schemas.openxmlformats.org/spreadsheetml/2006/main" count="719" uniqueCount="366">
  <si>
    <t>Step 1 - Enter info about your company in yellow shaded boxes below.</t>
  </si>
  <si>
    <t>Preparer Name</t>
  </si>
  <si>
    <t>Company Name</t>
  </si>
  <si>
    <t>Starting Month</t>
  </si>
  <si>
    <t>Starting Year</t>
  </si>
  <si>
    <t>Step 2 - Read the following instructions</t>
  </si>
  <si>
    <t>Last revised 11/12/2015. See revision notes on last tab.</t>
  </si>
  <si>
    <t>Start-up Expenses Year 1 (Starting Balance Sheet)</t>
  </si>
  <si>
    <t>Prepared By:</t>
  </si>
  <si>
    <t>Company Name:</t>
  </si>
  <si>
    <t>Fixed Assets</t>
  </si>
  <si>
    <t>Amount</t>
  </si>
  <si>
    <t>Depreciation (years)</t>
  </si>
  <si>
    <t>Notes</t>
  </si>
  <si>
    <t>Real Estate-Land</t>
  </si>
  <si>
    <t>Not Depreciated</t>
  </si>
  <si>
    <t>Real Estate-Buildings</t>
  </si>
  <si>
    <t>Leasehold Improvements</t>
  </si>
  <si>
    <t>Equipment</t>
  </si>
  <si>
    <t>Furniture and Fixtures</t>
  </si>
  <si>
    <t>Vehicles</t>
  </si>
  <si>
    <t>Other</t>
  </si>
  <si>
    <t>Total Fixed Assets</t>
  </si>
  <si>
    <t>Operating Capital</t>
  </si>
  <si>
    <t>Pre-Opening Salaries and Wages</t>
  </si>
  <si>
    <t>Prepaid Insurance Premiums</t>
  </si>
  <si>
    <t>Inventory</t>
  </si>
  <si>
    <t>Legal and Accounting Fees</t>
  </si>
  <si>
    <t>Rent Deposits</t>
  </si>
  <si>
    <t>Utility Deposits</t>
  </si>
  <si>
    <t>Supplies</t>
  </si>
  <si>
    <t>Advertising and Promotions</t>
  </si>
  <si>
    <t>Licenses</t>
  </si>
  <si>
    <t>Other Initial Start-Up Costs</t>
  </si>
  <si>
    <t>Working Capital (Cash On Hand)</t>
  </si>
  <si>
    <t>Total Operating Capital</t>
  </si>
  <si>
    <t>Total Required Funds</t>
  </si>
  <si>
    <t>Sources of Funding</t>
  </si>
  <si>
    <t>Percentage</t>
  </si>
  <si>
    <t>Totals</t>
  </si>
  <si>
    <t>Loan Rate</t>
  </si>
  <si>
    <t>Term in Months</t>
  </si>
  <si>
    <t>Monthly Payments</t>
  </si>
  <si>
    <t>Owner's Equity</t>
  </si>
  <si>
    <t>Outside Investors</t>
  </si>
  <si>
    <t>Additional Loans or Debt</t>
  </si>
  <si>
    <t>Commercial Loan</t>
  </si>
  <si>
    <t>Commercial Mortgage</t>
  </si>
  <si>
    <t>See Loan Amortization &amp; Depreciation Schedule</t>
  </si>
  <si>
    <t>Credit Card Debt</t>
  </si>
  <si>
    <t>Vehicle Loans</t>
  </si>
  <si>
    <t>Other Bank Debt</t>
  </si>
  <si>
    <t>Total Sources of Funding</t>
  </si>
  <si>
    <t>Cell D 42 must equal cell C31</t>
  </si>
  <si>
    <t>Total Funding Needed</t>
  </si>
  <si>
    <t>Existing Businesses ONLY -- Calculating Cash on Hand</t>
  </si>
  <si>
    <t>Cash</t>
  </si>
  <si>
    <t>+ Accounts Receivable</t>
  </si>
  <si>
    <t>+ Prepaid Expenses</t>
  </si>
  <si>
    <t>- Accounts Payable </t>
  </si>
  <si>
    <t>- Accrued Expenses</t>
  </si>
  <si>
    <t>Total Cash on Hand</t>
  </si>
  <si>
    <t>Payroll Year 1</t>
  </si>
  <si>
    <t>Employee Types</t>
  </si>
  <si>
    <t>Number of Owners /Employees</t>
  </si>
  <si>
    <t>Average Hourly Pay (to 2 decimal places, ex. $15.23)</t>
  </si>
  <si>
    <t>Estimated Hrs./Week (per person)</t>
  </si>
  <si>
    <t>Estimated Pay/Month (Total)</t>
  </si>
  <si>
    <t>Annual Totals</t>
  </si>
  <si>
    <t>Owner(s)</t>
  </si>
  <si>
    <t>Full-Time Employees</t>
  </si>
  <si>
    <t>Part-Time Employees</t>
  </si>
  <si>
    <t>Independent Contractors</t>
  </si>
  <si>
    <t>Total Salaries and Wages</t>
  </si>
  <si>
    <t>Payroll Taxes and Benefits</t>
  </si>
  <si>
    <t>Wage Base Limit</t>
  </si>
  <si>
    <t>Percentage of Salary/Wage</t>
  </si>
  <si>
    <t>Estimated Taxes &amp; Benefits/Month (Total)</t>
  </si>
  <si>
    <t>Social Security</t>
  </si>
  <si>
    <t>Medicare</t>
  </si>
  <si>
    <t>--</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</si>
  <si>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</si>
  <si>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</si>
  <si>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</si>
  <si>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</si>
  <si>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</si>
  <si>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</si>
  <si>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</si>
  <si>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</si>
  <si>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Payroll Years 1-3</t>
  </si>
  <si>
    <t>Year 1 Totals</t>
  </si>
  <si>
    <t>Growth Rate 1 to 2</t>
  </si>
  <si>
    <t>Growth Rate 2 to 3</t>
  </si>
  <si>
    <t>Sales Forecast Year 1</t>
  </si>
  <si>
    <t>Complete This Chart First:</t>
  </si>
  <si>
    <t>Product Lines</t>
  </si>
  <si>
    <t>Units</t>
  </si>
  <si>
    <t>Sales Price Per Unit</t>
  </si>
  <si>
    <t>COGS Per Unit</t>
  </si>
  <si>
    <t>Margin Per Unit</t>
  </si>
  <si>
    <t>Category Breakdown</t>
  </si>
  <si>
    <t>Category / Total</t>
  </si>
  <si>
    <t>Total Sales</t>
  </si>
  <si>
    <t>Total COGS</t>
  </si>
  <si>
    <t>Total Margin</t>
  </si>
  <si>
    <t>Margin</t>
  </si>
  <si>
    <t>Total Units Sold</t>
  </si>
  <si>
    <t>Total Cost of Goods Sold</t>
  </si>
  <si>
    <t>Sales Forecast Year 1-3</t>
  </si>
  <si>
    <t>Prepared by: </t>
  </si>
  <si>
    <t>Growth Rate Year 1 to Year 2:</t>
  </si>
  <si>
    <t>Growth Rate Year 2 to Year 3:</t>
  </si>
  <si>
    <t>Year 2 Totals</t>
  </si>
  <si>
    <t>Year 3 Totals</t>
  </si>
  <si>
    <t>Additional Inputs</t>
  </si>
  <si>
    <t>Accounts Receivable (A/R) Days Sales Outstanding</t>
  </si>
  <si>
    <t>Percent of Collections</t>
  </si>
  <si>
    <t>Year 1</t>
  </si>
  <si>
    <t>Year 2</t>
  </si>
  <si>
    <t>Year 3</t>
  </si>
  <si>
    <t>Paid within 30 days</t>
  </si>
  <si>
    <t>Paid between 30 and 60 days</t>
  </si>
  <si>
    <t>Paid in more than 60 days</t>
  </si>
  <si>
    <t>Allowance for bad debt</t>
  </si>
  <si>
    <t>This should equal 100%  ----&gt;</t>
  </si>
  <si>
    <t>Accounts Payable (A/P)</t>
  </si>
  <si>
    <t>Percent of Disbursements</t>
  </si>
  <si>
    <t>Line of Credit Assumptions</t>
  </si>
  <si>
    <t>Desired Minimum Cash Balance</t>
  </si>
  <si>
    <t>Line of Credit Interest Rate</t>
  </si>
  <si>
    <t>Additional Fixed Assets Purchases</t>
  </si>
  <si>
    <t>Year 2 Total</t>
  </si>
  <si>
    <t>Year 3 Total</t>
  </si>
  <si>
    <t>Real Estate</t>
  </si>
  <si>
    <t>Other Fixed Assets</t>
  </si>
  <si>
    <t>Total Additional Fixed Assets</t>
  </si>
  <si>
    <t>Income Tax Assumptions</t>
  </si>
  <si>
    <t>Effective Income Tax Rate - Year 1</t>
  </si>
  <si>
    <t>Effective Income Tax Rate - Year 2</t>
  </si>
  <si>
    <t>Effective Income Tax Rate - Year 3</t>
  </si>
  <si>
    <t>Amortization of Start-Up Costs</t>
  </si>
  <si>
    <t>Amortization Period in Years</t>
  </si>
  <si>
    <t>Operating Expenses Year 1</t>
  </si>
  <si>
    <t>Expenses</t>
  </si>
  <si>
    <t>Advertising</t>
  </si>
  <si>
    <t>Car and Truck Expenses</t>
  </si>
  <si>
    <t>Commissions and Fees</t>
  </si>
  <si>
    <t>Contract Labor (Not included in payroll)</t>
  </si>
  <si>
    <t>Insurance (other than health)</t>
  </si>
  <si>
    <t>Legal and Professional Services</t>
  </si>
  <si>
    <t>Office Expense</t>
  </si>
  <si>
    <t>Rent or Lease -- Vehicles, Machinery, Equipment</t>
  </si>
  <si>
    <t>Rent or Lease -- Other Business Property</t>
  </si>
  <si>
    <t>Repairs and Maintenance</t>
  </si>
  <si>
    <t>Travel, Meals and Entertainment</t>
  </si>
  <si>
    <t>Utilities</t>
  </si>
  <si>
    <t>Miscellaneous </t>
  </si>
  <si>
    <t>Total Expenses</t>
  </si>
  <si>
    <t>Other Expenses</t>
  </si>
  <si>
    <t>Depreciation </t>
  </si>
  <si>
    <t>Interest</t>
  </si>
  <si>
    <t>Line of Credit </t>
  </si>
  <si>
    <t>Bad Debt Expense</t>
  </si>
  <si>
    <t>Total Other Expenses</t>
  </si>
  <si>
    <t>Total Fixed Operating Expenses</t>
  </si>
  <si>
    <t>Operating Expenses Years 1-3</t>
  </si>
  <si>
    <t>Line Item</t>
  </si>
  <si>
    <t>Total Operating Expenses</t>
  </si>
  <si>
    <t>Cash Flow Forecast Year 1</t>
  </si>
  <si>
    <t>Beginning Balance</t>
  </si>
  <si>
    <t>Cash Inflows</t>
  </si>
  <si>
    <t>Cash Sales</t>
  </si>
  <si>
    <t>Accounts Receivable </t>
  </si>
  <si>
    <t>Total Cash Inflows</t>
  </si>
  <si>
    <t>Cash Outflows</t>
  </si>
  <si>
    <t>Investing Activities</t>
  </si>
  <si>
    <t>New Fixed Asset Purchases</t>
  </si>
  <si>
    <t>Additional Inventory</t>
  </si>
  <si>
    <t>Cost of Goods Sold</t>
  </si>
  <si>
    <t>Operating Activities</t>
  </si>
  <si>
    <t>Operating Expenses</t>
  </si>
  <si>
    <t>Payroll</t>
  </si>
  <si>
    <t>Taxes</t>
  </si>
  <si>
    <t>Financing Activities</t>
  </si>
  <si>
    <t>Loan Payments</t>
  </si>
  <si>
    <t>Owners Distribution</t>
  </si>
  <si>
    <t>Line of Credit Interest</t>
  </si>
  <si>
    <t>Line of Credit Repayments</t>
  </si>
  <si>
    <t>Dividends Paid</t>
  </si>
  <si>
    <t>Total Cash Outflows</t>
  </si>
  <si>
    <t>Net Cash Flows</t>
  </si>
  <si>
    <t>Operating Cash Balance</t>
  </si>
  <si>
    <t>Line of Credit Drawdown</t>
  </si>
  <si>
    <t>Ending Cash Balance</t>
  </si>
  <si>
    <t>Line of Credit Balance</t>
  </si>
  <si>
    <t>Cash Flow Forecast Years 1-3</t>
  </si>
  <si>
    <t>Income Statement Year 1</t>
  </si>
  <si>
    <t>Revenue</t>
  </si>
  <si>
    <t>Total Revenue</t>
  </si>
  <si>
    <t>Gross Margin</t>
  </si>
  <si>
    <t>Other Expense 1</t>
  </si>
  <si>
    <t>Other Expense 2</t>
  </si>
  <si>
    <t>Income (Before Other Expenses)</t>
  </si>
  <si>
    <t>Amortized Start-up Expenses</t>
  </si>
  <si>
    <t>Depreciation</t>
  </si>
  <si>
    <t>Line of Credit</t>
  </si>
  <si>
    <t>Net Income Before Income Tax</t>
  </si>
  <si>
    <t>Income Tax</t>
  </si>
  <si>
    <t>Net Profit/Loss</t>
  </si>
  <si>
    <t>Income Tax Calculations</t>
  </si>
  <si>
    <t>Monthly Taxable Income</t>
  </si>
  <si>
    <t>Cumulative Taxable Income</t>
  </si>
  <si>
    <t>Income Statement Years 1-3</t>
  </si>
  <si>
    <t>Net Income/Loss</t>
  </si>
  <si>
    <t>Month 1</t>
  </si>
  <si>
    <t>Month 2</t>
  </si>
  <si>
    <t>Month 3</t>
  </si>
  <si>
    <t>Month 4</t>
  </si>
  <si>
    <t>Month 5</t>
  </si>
  <si>
    <t>Month 6</t>
  </si>
  <si>
    <t>Month 7</t>
  </si>
  <si>
    <t>Month 8</t>
  </si>
  <si>
    <t>Month 9</t>
  </si>
  <si>
    <t>Month 10</t>
  </si>
  <si>
    <t>Month 11</t>
  </si>
  <si>
    <t>Month 12</t>
  </si>
  <si>
    <t>Total</t>
  </si>
  <si>
    <t>Taxable Amount Year 2</t>
  </si>
  <si>
    <t>Income Taxes</t>
  </si>
  <si>
    <t>Taxable Amount Year 3</t>
  </si>
  <si>
    <t>Balance Sheet Years 1-3</t>
  </si>
  <si>
    <t>ASSETS</t>
  </si>
  <si>
    <t>Current Assets</t>
  </si>
  <si>
    <t>Accounts Receivable</t>
  </si>
  <si>
    <t>Prepaid Expenses</t>
  </si>
  <si>
    <t>Other Initial Costs</t>
  </si>
  <si>
    <t>Total Current Assets</t>
  </si>
  <si>
    <t>Real Estate -- Land</t>
  </si>
  <si>
    <t>Real Estate -- Buildings</t>
  </si>
  <si>
    <t>Other </t>
  </si>
  <si>
    <t>(Less Accumulated Depreciation)</t>
  </si>
  <si>
    <t>Total Assets</t>
  </si>
  <si>
    <t>LIABILITIES &amp; EQUITY</t>
  </si>
  <si>
    <t>Liabilities</t>
  </si>
  <si>
    <t>Accounts Payable</t>
  </si>
  <si>
    <t>Commercial Loan Balance</t>
  </si>
  <si>
    <t>Commercial Mortgage Balance</t>
  </si>
  <si>
    <t>Credit Card Debt Balance</t>
  </si>
  <si>
    <t>Vehicle Loans Balance</t>
  </si>
  <si>
    <t>Other Bank Debt Balance</t>
  </si>
  <si>
    <t>Total  Liabilities</t>
  </si>
  <si>
    <t>Equity</t>
  </si>
  <si>
    <t>Common Stock</t>
  </si>
  <si>
    <t>Retained Earnings</t>
  </si>
  <si>
    <t>Dividends Dispersed/Owners Draw</t>
  </si>
  <si>
    <t>Total Equity</t>
  </si>
  <si>
    <t>Total Liabilities and Equity</t>
  </si>
  <si>
    <t>Balance sheet in or out of balance?</t>
  </si>
  <si>
    <t>Breakeven Analysis Year 1</t>
  </si>
  <si>
    <t>Gross Margin % of Sales </t>
  </si>
  <si>
    <t>Gross Margin/Total Sales</t>
  </si>
  <si>
    <t>Total Fixed Expenses </t>
  </si>
  <si>
    <t>Operating + Payroll</t>
  </si>
  <si>
    <t>Breakeven Sales in Dollars (Annual)</t>
  </si>
  <si>
    <t>Gross Margin % of Sales</t>
  </si>
  <si>
    <t>Yearly Breakeven Amount</t>
  </si>
  <si>
    <t>Monthly Breakeven Amount</t>
  </si>
  <si>
    <t>Financial Ratios - Year 1</t>
  </si>
  <si>
    <t>Ratios</t>
  </si>
  <si>
    <t>Year One</t>
  </si>
  <si>
    <t>Year Two</t>
  </si>
  <si>
    <t>Year Three</t>
  </si>
  <si>
    <t> Industry Norms</t>
  </si>
  <si>
    <t>Liquidity</t>
  </si>
  <si>
    <t>Current Ratio</t>
  </si>
  <si>
    <t>Quick Ratio</t>
  </si>
  <si>
    <t>Safety</t>
  </si>
  <si>
    <t>Debt to Equity Ratio</t>
  </si>
  <si>
    <t>Debt-Service Coverage Ratio - DSCR</t>
  </si>
  <si>
    <t>Profitability</t>
  </si>
  <si>
    <t>Sales Growth </t>
  </si>
  <si>
    <t>COGS to Sales</t>
  </si>
  <si>
    <t>Gross Profit Margin</t>
  </si>
  <si>
    <t>SG&amp;A to Sales</t>
  </si>
  <si>
    <t>Net Profit Margin</t>
  </si>
  <si>
    <t>Return on Equity (ROE)</t>
  </si>
  <si>
    <t>Return on Assets</t>
  </si>
  <si>
    <t>Owner's Compensation to Sales</t>
  </si>
  <si>
    <t>Efficiency</t>
  </si>
  <si>
    <t>Days in Receivables</t>
  </si>
  <si>
    <t>Accounts Receivable Turnover</t>
  </si>
  <si>
    <t>Days in Inventory</t>
  </si>
  <si>
    <t>Inventory Turnover</t>
  </si>
  <si>
    <t>Sales to Total Assets</t>
  </si>
  <si>
    <t>Diagnostic Tools - Year 1</t>
  </si>
  <si>
    <t>General Financing Assumptions</t>
  </si>
  <si>
    <t>Value</t>
  </si>
  <si>
    <t>Findings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</si>
  <si>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</si>
  <si>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</si>
  <si>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</si>
  <si>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</si>
  <si>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</si>
  <si>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</si>
  <si>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</si>
  <si>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Debt-Service Coverage</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</si>
  <si>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</si>
  <si>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</si>
  <si>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</si>
  <si>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</si>
  <si>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</si>
  <si>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</si>
  <si>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</si>
  <si>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</si>
  <si>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</si>
  <si>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Line of Credit Drawdowns</t>
  </si>
  <si>
    <t>Accounts Receivable Ratio to Sales</t>
  </si>
  <si>
    <t>Balance Sheet</t>
  </si>
  <si>
    <t>Does the Year 1 Balance Sheet Balance?</t>
  </si>
  <si>
    <t>Breakeven Analysis</t>
  </si>
  <si>
    <t>Do Sales Exceed the Breakeven Level?</t>
  </si>
  <si>
    <t>COGS Calculator</t>
  </si>
  <si>
    <t>Variable Costs of Products</t>
  </si>
  <si>
    <t>Timeframe:</t>
  </si>
  <si>
    <t>Month</t>
  </si>
  <si>
    <t>Product Line:</t>
  </si>
  <si>
    <t>Widget</t>
  </si>
  <si>
    <t>Raw materials </t>
  </si>
  <si>
    <t>Labor used to produce product</t>
  </si>
  <si>
    <t>Costs associated with shipping and storing raw materials</t>
  </si>
  <si>
    <t>Production facility expenses (use fraction of total if facility is used for other items)</t>
  </si>
  <si>
    <t>Total Product Expenses </t>
  </si>
  <si>
    <t>Number Units Sold in timeframe used</t>
  </si>
  <si>
    <t>Cost of Goods Sold Per Unit</t>
  </si>
  <si>
    <t>Variable Costs of Services</t>
  </si>
  <si>
    <t>Project</t>
  </si>
  <si>
    <t>Amount spent on labor during timeframe</t>
  </si>
  <si>
    <t>Amount spent on materials during this timeframe</t>
  </si>
  <si>
    <t>List any other variable costs associated with the delivery of your service during this timeframe.</t>
  </si>
  <si>
    <t>Total Service Expenses </t>
  </si>
  <si>
    <t>Number Units Sold During Timeframe</t>
  </si>
  <si>
    <t>Return to Sales Forecast Year 1</t>
  </si>
  <si>
    <t>Amortization &amp; Depreciation Schedule</t>
  </si>
  <si>
    <t>Return to Starting Point</t>
  </si>
  <si>
    <t>Principal Amount</t>
  </si>
  <si>
    <t>Interest Rate</t>
  </si>
  <si>
    <t>Loan Term in Months</t>
  </si>
  <si>
    <t>Monthly Payment Amount</t>
  </si>
  <si>
    <t>Principal</t>
  </si>
  <si>
    <t>Loan Balance</t>
  </si>
  <si>
    <t>Starting Depreciation</t>
  </si>
  <si>
    <t>Additional Depreciation</t>
  </si>
  <si>
    <t>Ending Depreciation</t>
  </si>
  <si>
    <t>Ending Deprecation</t>
  </si>
  <si>
    <t>Monthly</t>
  </si>
  <si>
    <t>Total Expensed each Year</t>
  </si>
  <si>
    <t>Amount Amortized</t>
  </si>
  <si>
    <t>Total Amortized</t>
  </si>
  <si>
    <t>Date Last Revised</t>
  </si>
  <si>
    <t>Revised By</t>
  </si>
  <si>
    <t>Heather Hendy</t>
  </si>
  <si>
    <t>Tab 3a, cell O55: added margin from 6th product. Tab 3b, cells O49 and AD49: added margins from 6th product. Tab 7b: added % sales for lines 23 and 59 for all three years.</t>
  </si>
  <si>
    <t>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</si>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</sst>
</file>

<file path=xl/styles.xml><?xml version="1.0" encoding="utf-8"?>
<styleSheet xmlns="http://schemas.openxmlformats.org/spreadsheetml/2006/main">
  <numFmts count="22">
    <numFmt numFmtId="164" formatCode="@"/>
    <numFmt numFmtId="165" formatCode="GENERAL"/>
    <numFmt numFmtId="166" formatCode="_(* #,##0.00_);_(* \(#,##0.00\);_(* \-??_);_(@_)"/>
    <numFmt numFmtId="167" formatCode="_(\$* #,##0.00_);_(\$* \(#,##0.00\);_(\$* \-??_);_(@_)"/>
    <numFmt numFmtId="168" formatCode="0%"/>
    <numFmt numFmtId="169" formatCode="_(* #,##0_);_(* \(#,##0\);_(* \-_);_(@_)"/>
    <numFmt numFmtId="170" formatCode="_(\$* #,##0_);_(\$* \(#,##0\);_(\$* \-_);_(@_)"/>
    <numFmt numFmtId="171" formatCode="_(* #,##0_);_(* \(#,##0\);_(* \-??_);_(@_)"/>
    <numFmt numFmtId="172" formatCode="_(\$* #,##0_);_(\$* \(#,##0\);_(\$* \-??_);_(@_)"/>
    <numFmt numFmtId="173" formatCode="0.00%"/>
    <numFmt numFmtId="174" formatCode="#,##0;[RED]\-#,##0"/>
    <numFmt numFmtId="175" formatCode="0_);[RED]\(0\)"/>
    <numFmt numFmtId="176" formatCode="0.00"/>
    <numFmt numFmtId="177" formatCode="#,##0;\-#,##0"/>
    <numFmt numFmtId="178" formatCode="0.0%"/>
    <numFmt numFmtId="179" formatCode="#,##0.00;[RED]\-#,##0.00"/>
    <numFmt numFmtId="180" formatCode="\$#,##0_);[RED]&quot;($&quot;#,##0\)"/>
    <numFmt numFmtId="181" formatCode="0"/>
    <numFmt numFmtId="182" formatCode="0.0"/>
    <numFmt numFmtId="183" formatCode="\$#,##0.00_);[RED]&quot;($&quot;#,##0.00\)"/>
    <numFmt numFmtId="184" formatCode="\$#,##0.00"/>
    <numFmt numFmtId="185" formatCode="DD/MM/YYYY"/>
  </numFmts>
  <fonts count="63">
    <font>
      <sz val="11"/>
      <color rgb="FF000000"/>
      <name val="Calibri"/>
      <family val="2"/>
      <charset val="1"/>
    </font>
    <font>
      <sz val="10"/>
      <name val="Arial"/>
      <family val="0"/>
    </font>
    <font>
      <sz val="10"/>
      <name val="Arial"/>
      <family val="0"/>
    </font>
    <font>
      <sz val="10"/>
      <name val="Arial"/>
      <family val="0"/>
    </font>
    <font>
      <sz val="11"/>
      <name val="Arial"/>
      <family val="2"/>
      <charset val="1"/>
    </font>
    <font>
      <b val="true"/>
      <sz val="18"/>
      <name val="Arial"/>
      <family val="2"/>
      <charset val="1"/>
    </font>
    <font>
      <sz val="11"/>
      <color rgb="FF000000"/>
      <name val="Gill Sans MT"/>
      <family val="2"/>
      <charset val="1"/>
    </font>
    <font>
      <sz val="11"/>
      <name val="Gill Sans MT"/>
      <family val="2"/>
      <charset val="1"/>
    </font>
    <font>
      <b val="true"/>
      <sz val="11"/>
      <color rgb="FF000000"/>
      <name val="Gill Sans MT"/>
      <family val="2"/>
      <charset val="1"/>
    </font>
    <font>
      <b val="true"/>
      <sz val="11"/>
      <color rgb="FF006EB7"/>
      <name val="Gill Sans MT"/>
      <family val="2"/>
      <charset val="1"/>
    </font>
    <font>
      <b val="true"/>
      <sz val="9"/>
      <name val="Gill Sans MT"/>
      <family val="2"/>
      <charset val="1"/>
    </font>
    <font>
      <b val="true"/>
      <sz val="11"/>
      <name val="Gill Sans MT"/>
      <family val="2"/>
      <charset val="1"/>
    </font>
    <font>
      <sz val="11"/>
      <color rgb="FFFFFFFF"/>
      <name val="Gill Sans MT"/>
      <family val="2"/>
      <charset val="1"/>
    </font>
    <font>
      <sz val="10"/>
      <color rgb="FFFFFFFF"/>
      <name val="Arial"/>
      <family val="2"/>
      <charset val="1"/>
    </font>
    <font>
      <i val="true"/>
      <sz val="11"/>
      <color rgb="FF000000"/>
      <name val="Gill Sans MT"/>
      <family val="2"/>
      <charset val="1"/>
    </font>
    <font>
      <sz val="11"/>
      <color rgb="FF000000"/>
      <name val="Calibri"/>
      <family val="2"/>
    </font>
    <font>
      <sz val="11"/>
      <color rgb="FF000000"/>
      <name val="Gill Sans MT"/>
      <family val="2"/>
    </font>
    <font>
      <sz val="20"/>
      <color rgb="FF000000"/>
      <name val="Gill Sans MT"/>
      <family val="2"/>
    </font>
    <font>
      <b val="true"/>
      <sz val="11"/>
      <color rgb="FF000000"/>
      <name val="Gill Sans MT"/>
      <family val="2"/>
    </font>
    <font>
      <u val="single"/>
      <sz val="15"/>
      <color rgb="FF30A1FF"/>
      <name val="Gill Sans MT"/>
      <family val="2"/>
    </font>
    <font>
      <sz val="10"/>
      <color rgb="FF000000"/>
      <name val="Gill Sans MT"/>
      <family val="2"/>
      <charset val="1"/>
    </font>
    <font>
      <b val="true"/>
      <sz val="10"/>
      <name val="Gill Sans MT"/>
      <family val="2"/>
      <charset val="1"/>
    </font>
    <font>
      <b val="true"/>
      <sz val="10"/>
      <color rgb="FF339966"/>
      <name val="Gill Sans MT"/>
      <family val="2"/>
      <charset val="1"/>
    </font>
    <font>
      <b val="true"/>
      <sz val="10"/>
      <color rgb="FF000000"/>
      <name val="Gill Sans MT"/>
      <family val="2"/>
      <charset val="1"/>
    </font>
    <font>
      <sz val="10"/>
      <name val="Gill Sans MT"/>
      <family val="2"/>
      <charset val="1"/>
    </font>
    <font>
      <b val="true"/>
      <sz val="10"/>
      <color rgb="FF006EB7"/>
      <name val="Gill Sans MT"/>
      <family val="2"/>
      <charset val="1"/>
    </font>
    <font>
      <b val="true"/>
      <sz val="10"/>
      <color rgb="FFFFFFFF"/>
      <name val="Gill Sans MT"/>
      <family val="2"/>
      <charset val="1"/>
    </font>
    <font>
      <b val="true"/>
      <sz val="10"/>
      <color rgb="FFDD0806"/>
      <name val="Gill Sans MT"/>
      <family val="2"/>
      <charset val="1"/>
    </font>
    <font>
      <u val="single"/>
      <sz val="10"/>
      <color rgb="FF0000FF"/>
      <name val="Calibri"/>
      <family val="2"/>
      <charset val="1"/>
    </font>
    <font>
      <u val="single"/>
      <sz val="11"/>
      <color rgb="FF30A1FF"/>
      <name val="Calibri"/>
      <family val="2"/>
      <charset val="1"/>
    </font>
    <font>
      <b val="true"/>
      <sz val="10"/>
      <color rgb="FF0000D4"/>
      <name val="Gill Sans MT"/>
      <family val="2"/>
      <charset val="1"/>
    </font>
    <font>
      <b val="true"/>
      <sz val="10"/>
      <color rgb="FFDD0806"/>
      <name val="Arial"/>
      <family val="2"/>
      <charset val="1"/>
    </font>
    <font>
      <sz val="9"/>
      <color rgb="FF000000"/>
      <name val="Gill Sans MT"/>
      <family val="2"/>
      <charset val="1"/>
    </font>
    <font>
      <b val="true"/>
      <sz val="9"/>
      <color rgb="FF339966"/>
      <name val="Gill Sans MT"/>
      <family val="2"/>
      <charset val="1"/>
    </font>
    <font>
      <sz val="9"/>
      <name val="Gill Sans MT"/>
      <family val="2"/>
      <charset val="1"/>
    </font>
    <font>
      <b val="true"/>
      <sz val="9"/>
      <color rgb="FF006EB7"/>
      <name val="Gill Sans MT"/>
      <family val="2"/>
      <charset val="1"/>
    </font>
    <font>
      <sz val="9"/>
      <color rgb="FF000000"/>
      <name val="Tahoma"/>
      <family val="2"/>
      <charset val="1"/>
    </font>
    <font>
      <b val="true"/>
      <sz val="9"/>
      <color rgb="FF000000"/>
      <name val="Tahoma"/>
      <family val="2"/>
      <charset val="1"/>
    </font>
    <font>
      <b val="true"/>
      <sz val="9"/>
      <color rgb="FFFFFFFF"/>
      <name val="Gill Sans MT"/>
      <family val="2"/>
      <charset val="1"/>
    </font>
    <font>
      <sz val="9"/>
      <color rgb="FFFFFFFF"/>
      <name val="Gill Sans MT"/>
      <family val="2"/>
      <charset val="1"/>
    </font>
    <font>
      <b val="true"/>
      <sz val="9"/>
      <color rgb="FF44C8F5"/>
      <name val="Gill Sans MT"/>
      <family val="2"/>
      <charset val="1"/>
    </font>
    <font>
      <b val="true"/>
      <u val="single"/>
      <sz val="9"/>
      <color rgb="FFFFFFFF"/>
      <name val="Gill Sans MT"/>
      <family val="2"/>
      <charset val="1"/>
    </font>
    <font>
      <u val="single"/>
      <sz val="9"/>
      <name val="Calibri"/>
      <family val="2"/>
      <charset val="1"/>
    </font>
    <font>
      <b val="true"/>
      <i val="true"/>
      <sz val="9"/>
      <color rgb="FF000000"/>
      <name val="Gill Sans MT"/>
      <family val="2"/>
      <charset val="1"/>
    </font>
    <font>
      <b val="true"/>
      <sz val="9"/>
      <color rgb="FF000000"/>
      <name val="Gill Sans MT"/>
      <family val="2"/>
      <charset val="1"/>
    </font>
    <font>
      <sz val="9"/>
      <color rgb="FF000000"/>
      <name val="Gill Sans MT"/>
      <family val="2"/>
    </font>
    <font>
      <sz val="9"/>
      <color rgb="FF000000"/>
      <name val="Calibri"/>
      <family val="2"/>
    </font>
    <font>
      <b val="true"/>
      <sz val="7"/>
      <name val="Gill Sans MT"/>
      <family val="2"/>
      <charset val="1"/>
    </font>
    <font>
      <b val="true"/>
      <sz val="9"/>
      <name val="Arial"/>
      <family val="2"/>
      <charset val="1"/>
    </font>
    <font>
      <sz val="9"/>
      <name val="Arial"/>
      <family val="2"/>
      <charset val="1"/>
    </font>
    <font>
      <sz val="9"/>
      <color rgb="FF0066CC"/>
      <name val="Gill Sans MT"/>
      <family val="2"/>
      <charset val="1"/>
    </font>
    <font>
      <sz val="9"/>
      <color rgb="FF339966"/>
      <name val="Gill Sans MT"/>
      <family val="2"/>
      <charset val="1"/>
    </font>
    <font>
      <sz val="9"/>
      <name val="Calibri"/>
      <family val="2"/>
      <charset val="1"/>
    </font>
    <font>
      <u val="single"/>
      <sz val="9"/>
      <name val="Gill Sans MT"/>
      <family val="2"/>
      <charset val="1"/>
    </font>
    <font>
      <sz val="9"/>
      <color rgb="FF006EB7"/>
      <name val="Gill Sans MT"/>
      <family val="2"/>
      <charset val="1"/>
    </font>
    <font>
      <sz val="9"/>
      <color rgb="FFDD0806"/>
      <name val="Gill Sans MT"/>
      <family val="2"/>
      <charset val="1"/>
    </font>
    <font>
      <b val="true"/>
      <sz val="9"/>
      <color rgb="FF000000"/>
      <name val="Gill Sans MT"/>
      <family val="2"/>
    </font>
    <font>
      <b val="true"/>
      <u val="single"/>
      <sz val="9"/>
      <color rgb="FF000000"/>
      <name val="Gill Sans MT"/>
      <family val="2"/>
    </font>
    <font>
      <b val="true"/>
      <sz val="9"/>
      <color rgb="FF1FB714"/>
      <name val="Gill Sans MT"/>
      <family val="2"/>
      <charset val="1"/>
    </font>
    <font>
      <u val="single"/>
      <sz val="9"/>
      <color rgb="FFFFFFFF"/>
      <name val="Gill Sans MT"/>
      <family val="2"/>
      <charset val="1"/>
    </font>
    <font>
      <u val="single"/>
      <sz val="9"/>
      <color rgb="FF0000FF"/>
      <name val="Gill Sans MT"/>
      <family val="2"/>
      <charset val="1"/>
    </font>
    <font>
      <u val="single"/>
      <sz val="9"/>
      <color rgb="FF0000FF"/>
      <name val="Calibri"/>
      <family val="2"/>
      <charset val="1"/>
    </font>
    <font>
      <b val="true"/>
      <sz val="11"/>
      <color rgb="FF000000"/>
      <name val="Calibri"/>
      <family val="2"/>
      <charset val="1"/>
    </font>
  </fonts>
  <fills count="8">
    <fill>
      <patternFill patternType="none"/>
    </fill>
    <fill>
      <patternFill patternType="gray125"/>
    </fill>
    <fill>
      <patternFill patternType="solid">
        <fgColor rgb="FF008080"/>
        <bgColor rgb="FF006EB7"/>
      </patternFill>
    </fill>
    <fill>
      <patternFill patternType="solid">
        <fgColor rgb="FF8ACC9E"/>
        <bgColor rgb="FFBFBFBF"/>
      </patternFill>
    </fill>
    <fill>
      <patternFill patternType="solid">
        <fgColor rgb="FFFFFFFF"/>
        <bgColor rgb="FFFFFFCC"/>
      </patternFill>
    </fill>
    <fill>
      <patternFill patternType="solid">
        <fgColor rgb="FFFFC95B"/>
        <bgColor rgb="FFFFE043"/>
      </patternFill>
    </fill>
    <fill>
      <patternFill patternType="solid">
        <fgColor rgb="FF44C8F5"/>
        <bgColor rgb="FF30A1FF"/>
      </patternFill>
    </fill>
    <fill>
      <patternFill patternType="solid">
        <fgColor rgb="FFFFFF99"/>
        <bgColor rgb="FFFFFF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thick">
        <color rgb="FF006EB7"/>
      </bottom>
      <diagonal/>
    </border>
    <border diagonalUp="false" diagonalDown="false">
      <left style="thin"/>
      <right style="thin"/>
      <top/>
      <bottom style="thin"/>
      <diagonal/>
    </border>
    <border diagonalUp="false" diagonalDown="false">
      <left style="thin"/>
      <right/>
      <top/>
      <bottom/>
      <diagonal/>
    </border>
    <border diagonalUp="false" diagonalDown="false">
      <left style="thin"/>
      <right/>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medium"/>
      <right style="thin"/>
      <top style="thin"/>
      <bottom style="thin"/>
      <diagonal/>
    </border>
    <border diagonalUp="false" diagonalDown="false">
      <left style="thin"/>
      <right/>
      <top style="thin"/>
      <bottom style="thick">
        <color rgb="FF0070C0"/>
      </bottom>
      <diagonal/>
    </border>
    <border diagonalUp="false" diagonalDown="false">
      <left style="thin"/>
      <right style="thin"/>
      <top style="thin"/>
      <bottom style="thick">
        <color rgb="FF0070C0"/>
      </bottom>
      <diagonal/>
    </border>
    <border diagonalUp="false" diagonalDown="false">
      <left style="thin"/>
      <right style="medium"/>
      <top style="thin"/>
      <bottom style="thick">
        <color rgb="FF006EB7"/>
      </bottom>
      <diagonal/>
    </border>
    <border diagonalUp="false" diagonalDown="false">
      <left style="medium"/>
      <right style="medium"/>
      <top/>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top style="thin"/>
      <bottom style="thick">
        <color rgb="FF006EB7"/>
      </bottom>
      <diagonal/>
    </border>
  </borders>
  <cellStyleXfs count="27">
    <xf numFmtId="165"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5" fontId="29"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5" fontId="4" fillId="2" borderId="0" applyFont="true" applyBorder="true" applyAlignment="true" applyProtection="true">
      <alignment horizontal="general" vertical="bottom" textRotation="0" wrapText="false" indent="0" shrinkToFit="false"/>
      <protection locked="true" hidden="false"/>
    </xf>
    <xf numFmtId="168" fontId="0" fillId="0" borderId="0" applyFont="true" applyBorder="false" applyAlignment="true" applyProtection="false">
      <alignment horizontal="general" vertical="bottom" textRotation="0" wrapText="false" indent="0" shrinkToFit="false"/>
    </xf>
    <xf numFmtId="165" fontId="5" fillId="2" borderId="0" applyFont="true" applyBorder="true" applyAlignment="true" applyProtection="true">
      <alignment horizontal="general" vertical="bottom" textRotation="0" wrapText="false" indent="0" shrinkToFit="false"/>
      <protection locked="true" hidden="false"/>
    </xf>
    <xf numFmtId="164" fontId="10" fillId="3" borderId="1" applyFont="true" applyBorder="true" applyAlignment="true" applyProtection="false">
      <alignment horizontal="general" vertical="bottom" textRotation="0" wrapText="true" indent="0" shrinkToFit="false"/>
    </xf>
  </cellStyleXfs>
  <cellXfs count="515">
    <xf numFmtId="165" fontId="0" fillId="0" borderId="0" xfId="0" applyFont="fals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true">
      <alignment horizontal="general" vertical="bottom" textRotation="0" wrapText="false" indent="0" shrinkToFit="false"/>
      <protection locked="true" hidden="false"/>
    </xf>
    <xf numFmtId="165" fontId="7" fillId="0" borderId="0" xfId="0" applyFont="true" applyBorder="false" applyAlignment="false" applyProtection="true">
      <alignment horizontal="general" vertical="bottom" textRotation="0" wrapText="false" indent="0" shrinkToFit="false"/>
      <protection locked="true" hidden="false"/>
    </xf>
    <xf numFmtId="165" fontId="8" fillId="0" borderId="0" xfId="0" applyFont="true" applyBorder="true" applyAlignment="true" applyProtection="true">
      <alignment horizontal="left" vertical="center" textRotation="0" wrapText="false" indent="0" shrinkToFit="false"/>
      <protection locked="true" hidden="false"/>
    </xf>
    <xf numFmtId="165" fontId="6" fillId="0" borderId="0" xfId="23" applyFont="true" applyBorder="true" applyAlignment="false" applyProtection="true">
      <alignment horizontal="general" vertical="bottom" textRotation="0" wrapText="false" indent="0" shrinkToFit="false"/>
      <protection locked="true" hidden="false"/>
    </xf>
    <xf numFmtId="165" fontId="6" fillId="0" borderId="0" xfId="0" applyFont="true" applyBorder="true" applyAlignment="false" applyProtection="true">
      <alignment horizontal="general" vertical="bottom" textRotation="0" wrapText="false" indent="0" shrinkToFit="false"/>
      <protection locked="true" hidden="false"/>
    </xf>
    <xf numFmtId="165" fontId="6" fillId="0" borderId="0" xfId="0" applyFont="true" applyBorder="true" applyAlignment="false" applyProtection="true">
      <alignment horizontal="general" vertical="bottom" textRotation="0" wrapText="false" indent="0" shrinkToFit="false"/>
      <protection locked="true" hidden="false"/>
    </xf>
    <xf numFmtId="165" fontId="6" fillId="0" borderId="0" xfId="0" applyFont="true" applyBorder="true" applyAlignment="true" applyProtection="true">
      <alignment horizontal="right" vertical="bottom" textRotation="0" wrapText="false" indent="0" shrinkToFit="false"/>
      <protection locked="true" hidden="false"/>
    </xf>
    <xf numFmtId="164" fontId="9" fillId="4" borderId="2" xfId="26" applyFont="true" applyBorder="true" applyAlignment="true" applyProtection="true">
      <alignment horizontal="center" vertical="bottom" textRotation="0" wrapText="true" indent="0" shrinkToFit="false"/>
      <protection locked="true" hidden="false"/>
    </xf>
    <xf numFmtId="165" fontId="11" fillId="5" borderId="3" xfId="0" applyFont="true" applyBorder="true" applyAlignment="true" applyProtection="true">
      <alignment horizontal="center" vertical="bottom" textRotation="0" wrapText="false" indent="0" shrinkToFit="false"/>
      <protection locked="false" hidden="false"/>
    </xf>
    <xf numFmtId="165" fontId="11" fillId="5" borderId="3" xfId="0" applyFont="true" applyBorder="true" applyAlignment="true" applyProtection="true">
      <alignment horizontal="center" vertical="bottom" textRotation="0" wrapText="false" indent="0" shrinkToFit="false"/>
      <protection locked="false" hidden="false"/>
    </xf>
    <xf numFmtId="165" fontId="12" fillId="0" borderId="0" xfId="0" applyFont="true" applyBorder="false" applyAlignment="false" applyProtection="true">
      <alignment horizontal="general" vertical="bottom" textRotation="0" wrapText="false" indent="0" shrinkToFit="false"/>
      <protection locked="true" hidden="false"/>
    </xf>
    <xf numFmtId="165" fontId="12" fillId="0" borderId="0" xfId="0" applyFont="true" applyBorder="false" applyAlignment="false" applyProtection="true">
      <alignment horizontal="general" vertical="bottom" textRotation="0" wrapText="false" indent="0" shrinkToFit="false"/>
      <protection locked="true" hidden="true"/>
    </xf>
    <xf numFmtId="165" fontId="13" fillId="0" borderId="0" xfId="0" applyFont="true" applyBorder="true" applyAlignment="true" applyProtection="true">
      <alignment horizontal="general" vertical="center" textRotation="0" wrapText="true" indent="0" shrinkToFit="false"/>
      <protection locked="true" hidden="true"/>
    </xf>
    <xf numFmtId="165" fontId="14" fillId="0" borderId="0" xfId="0" applyFont="true" applyBorder="false" applyAlignment="false" applyProtection="true">
      <alignment horizontal="general" vertical="bottom" textRotation="0" wrapText="false" indent="0" shrinkToFit="false"/>
      <protection locked="true" hidden="false"/>
    </xf>
    <xf numFmtId="165" fontId="20" fillId="0" borderId="0" xfId="0" applyFont="true" applyBorder="false" applyAlignment="false" applyProtection="false">
      <alignment horizontal="general" vertical="bottom" textRotation="0" wrapText="false" indent="0" shrinkToFit="false"/>
      <protection locked="true" hidden="false"/>
    </xf>
    <xf numFmtId="165" fontId="20" fillId="0" borderId="0" xfId="0" applyFont="true" applyBorder="false" applyAlignment="false" applyProtection="false">
      <alignment horizontal="general" vertical="bottom" textRotation="0" wrapText="false" indent="0" shrinkToFit="false"/>
      <protection locked="true" hidden="false"/>
    </xf>
    <xf numFmtId="165" fontId="21" fillId="0" borderId="0" xfId="0" applyFont="true" applyBorder="true" applyAlignment="true" applyProtection="false">
      <alignment horizontal="left" vertical="center" textRotation="0" wrapText="false" indent="0" shrinkToFit="false"/>
      <protection locked="true" hidden="false"/>
    </xf>
    <xf numFmtId="165" fontId="22" fillId="0" borderId="0" xfId="0" applyFont="true" applyBorder="true" applyAlignment="true" applyProtection="false">
      <alignment horizontal="left" vertical="center" textRotation="0" wrapText="false" indent="0" shrinkToFit="false"/>
      <protection locked="true" hidden="false"/>
    </xf>
    <xf numFmtId="165" fontId="21" fillId="0" borderId="0" xfId="0" applyFont="true" applyBorder="true" applyAlignment="true" applyProtection="false">
      <alignment horizontal="general" vertical="bottom" textRotation="0" wrapText="false" indent="0" shrinkToFit="false"/>
      <protection locked="true" hidden="false"/>
    </xf>
    <xf numFmtId="165" fontId="23" fillId="0" borderId="0" xfId="0" applyFont="true" applyBorder="true" applyAlignment="false" applyProtection="false">
      <alignment horizontal="general" vertical="bottom" textRotation="0" wrapText="false" indent="0" shrinkToFit="false"/>
      <protection locked="true" hidden="false"/>
    </xf>
    <xf numFmtId="165" fontId="20" fillId="0" borderId="0" xfId="0" applyFont="true" applyBorder="true" applyAlignment="false" applyProtection="false">
      <alignment horizontal="general" vertical="bottom" textRotation="0" wrapText="false" indent="0" shrinkToFit="false"/>
      <protection locked="true" hidden="false"/>
    </xf>
    <xf numFmtId="165" fontId="24" fillId="0" borderId="0" xfId="0" applyFont="true" applyBorder="true" applyAlignment="true" applyProtection="false">
      <alignment horizontal="general" vertical="bottom" textRotation="0" wrapText="false" indent="0" shrinkToFit="false"/>
      <protection locked="true" hidden="false"/>
    </xf>
    <xf numFmtId="165" fontId="24" fillId="0" borderId="0" xfId="0" applyFont="true" applyBorder="false" applyAlignment="false" applyProtection="false">
      <alignment horizontal="general" vertical="bottom" textRotation="0" wrapText="false" indent="0" shrinkToFit="false"/>
      <protection locked="true" hidden="false"/>
    </xf>
    <xf numFmtId="164" fontId="25" fillId="4" borderId="2" xfId="26" applyFont="true" applyBorder="true" applyAlignment="true" applyProtection="true">
      <alignment horizontal="center" vertical="bottom" textRotation="0" wrapText="true" indent="0" shrinkToFit="false"/>
      <protection locked="true" hidden="false"/>
    </xf>
    <xf numFmtId="165" fontId="26" fillId="0" borderId="4" xfId="0" applyFont="true" applyBorder="true" applyAlignment="true" applyProtection="false">
      <alignment horizontal="general" vertical="center" textRotation="0" wrapText="false" indent="0" shrinkToFit="false"/>
      <protection locked="true" hidden="false"/>
    </xf>
    <xf numFmtId="165" fontId="21" fillId="0" borderId="5" xfId="0" applyFont="true" applyBorder="true" applyAlignment="true" applyProtection="false">
      <alignment horizontal="general" vertical="bottom" textRotation="0" wrapText="false" indent="0" shrinkToFit="false"/>
      <protection locked="true" hidden="false"/>
    </xf>
    <xf numFmtId="165" fontId="24" fillId="0" borderId="3" xfId="0" applyFont="true" applyBorder="true" applyAlignment="false" applyProtection="false">
      <alignment horizontal="general" vertical="bottom" textRotation="0" wrapText="false" indent="0" shrinkToFit="false"/>
      <protection locked="true" hidden="false"/>
    </xf>
    <xf numFmtId="165" fontId="24" fillId="0" borderId="3" xfId="0" applyFont="true" applyBorder="true" applyAlignment="true" applyProtection="true">
      <alignment horizontal="center" vertical="bottom" textRotation="0" wrapText="false" indent="0" shrinkToFit="false"/>
      <protection locked="false" hidden="false"/>
    </xf>
    <xf numFmtId="165" fontId="24" fillId="0" borderId="4" xfId="0" applyFont="true" applyBorder="true" applyAlignment="true" applyProtection="true">
      <alignment horizontal="general" vertical="bottom" textRotation="0" wrapText="false" indent="0" shrinkToFit="false"/>
      <protection locked="false" hidden="false"/>
    </xf>
    <xf numFmtId="165" fontId="21" fillId="0" borderId="1" xfId="0" applyFont="true" applyBorder="true" applyAlignment="true" applyProtection="false">
      <alignment horizontal="left" vertical="bottom" textRotation="0" wrapText="false" indent="0" shrinkToFit="false"/>
      <protection locked="true" hidden="false"/>
    </xf>
    <xf numFmtId="169" fontId="24" fillId="5" borderId="5" xfId="17" applyFont="true" applyBorder="true" applyAlignment="true" applyProtection="true">
      <alignment horizontal="general" vertical="bottom" textRotation="0" wrapText="false" indent="0" shrinkToFit="false"/>
      <protection locked="false" hidden="false"/>
    </xf>
    <xf numFmtId="169" fontId="24" fillId="0" borderId="1" xfId="17" applyFont="true" applyBorder="true" applyAlignment="true" applyProtection="true">
      <alignment horizontal="right" vertical="bottom" textRotation="0" wrapText="false" indent="0" shrinkToFit="false"/>
      <protection locked="false" hidden="false"/>
    </xf>
    <xf numFmtId="165" fontId="24" fillId="0" borderId="1" xfId="0" applyFont="true" applyBorder="true" applyAlignment="true" applyProtection="true">
      <alignment horizontal="center" vertical="bottom" textRotation="0" wrapText="false" indent="0" shrinkToFit="false"/>
      <protection locked="false" hidden="false"/>
    </xf>
    <xf numFmtId="169" fontId="24" fillId="5" borderId="6" xfId="15" applyFont="true" applyBorder="true" applyAlignment="true" applyProtection="true">
      <alignment horizontal="general" vertical="bottom" textRotation="0" wrapText="false" indent="0" shrinkToFit="false"/>
      <protection locked="false" hidden="false"/>
    </xf>
    <xf numFmtId="169" fontId="24" fillId="5" borderId="1" xfId="15" applyFont="true" applyBorder="true" applyAlignment="true" applyProtection="true">
      <alignment horizontal="general" vertical="bottom" textRotation="0" wrapText="false" indent="0" shrinkToFit="false"/>
      <protection locked="false" hidden="false"/>
    </xf>
    <xf numFmtId="166" fontId="24" fillId="0" borderId="1" xfId="15" applyFont="true" applyBorder="true" applyAlignment="true" applyProtection="true">
      <alignment horizontal="center" vertical="bottom" textRotation="0" wrapText="false" indent="0" shrinkToFit="false"/>
      <protection locked="false" hidden="false"/>
    </xf>
    <xf numFmtId="166" fontId="24" fillId="0" borderId="4" xfId="15" applyFont="true" applyBorder="true" applyAlignment="true" applyProtection="true">
      <alignment horizontal="general" vertical="bottom" textRotation="0" wrapText="false" indent="0" shrinkToFit="false"/>
      <protection locked="false" hidden="false"/>
    </xf>
    <xf numFmtId="165" fontId="21" fillId="0" borderId="1" xfId="0" applyFont="true" applyBorder="true" applyAlignment="false" applyProtection="false">
      <alignment horizontal="general" vertical="bottom" textRotation="0" wrapText="false" indent="0" shrinkToFit="false"/>
      <protection locked="true" hidden="false"/>
    </xf>
    <xf numFmtId="170" fontId="24" fillId="0" borderId="1" xfId="15" applyFont="true" applyBorder="true" applyAlignment="true" applyProtection="true">
      <alignment horizontal="general" vertical="bottom" textRotation="0" wrapText="false" indent="0" shrinkToFit="false"/>
      <protection locked="true" hidden="false"/>
    </xf>
    <xf numFmtId="170" fontId="24" fillId="0" borderId="7" xfId="15" applyFont="true" applyBorder="true" applyAlignment="true" applyProtection="true">
      <alignment horizontal="general" vertical="bottom" textRotation="0" wrapText="false" indent="0" shrinkToFit="false"/>
      <protection locked="true" hidden="false"/>
    </xf>
    <xf numFmtId="166" fontId="24" fillId="0" borderId="8" xfId="15" applyFont="true" applyBorder="true" applyAlignment="true" applyProtection="true">
      <alignment horizontal="center" vertical="bottom" textRotation="0" wrapText="false" indent="0" shrinkToFit="false"/>
      <protection locked="false" hidden="false"/>
    </xf>
    <xf numFmtId="166" fontId="24" fillId="0" borderId="4" xfId="15" applyFont="true" applyBorder="true" applyAlignment="true" applyProtection="true">
      <alignment horizontal="general" vertical="bottom" textRotation="0" wrapText="false" indent="0" shrinkToFit="false"/>
      <protection locked="false" hidden="false"/>
    </xf>
    <xf numFmtId="165" fontId="21" fillId="0" borderId="1" xfId="0" applyFont="true" applyBorder="true" applyAlignment="true" applyProtection="false">
      <alignment horizontal="center" vertical="bottom" textRotation="0" wrapText="false" indent="0" shrinkToFit="false"/>
      <protection locked="true" hidden="false"/>
    </xf>
    <xf numFmtId="165" fontId="20" fillId="0" borderId="4" xfId="0" applyFont="true" applyBorder="true" applyAlignment="false" applyProtection="false">
      <alignment horizontal="general" vertical="bottom" textRotation="0" wrapText="false" indent="0" shrinkToFit="false"/>
      <protection locked="true" hidden="false"/>
    </xf>
    <xf numFmtId="165" fontId="25" fillId="0" borderId="9" xfId="0" applyFont="true" applyBorder="true" applyAlignment="true" applyProtection="false">
      <alignment horizontal="center" vertical="bottom" textRotation="0" wrapText="false" indent="0" shrinkToFit="false"/>
      <protection locked="true" hidden="false"/>
    </xf>
    <xf numFmtId="171" fontId="25" fillId="0" borderId="10" xfId="15" applyFont="true" applyBorder="true" applyAlignment="true" applyProtection="true">
      <alignment horizontal="center" vertical="bottom" textRotation="0" wrapText="false" indent="0" shrinkToFit="false"/>
      <protection locked="true" hidden="false"/>
    </xf>
    <xf numFmtId="165" fontId="25" fillId="0" borderId="11" xfId="0" applyFont="true" applyBorder="true" applyAlignment="true" applyProtection="true">
      <alignment horizontal="center" vertical="bottom" textRotation="0" wrapText="false" indent="0" shrinkToFit="false"/>
      <protection locked="false" hidden="false"/>
    </xf>
    <xf numFmtId="165" fontId="21" fillId="0" borderId="3" xfId="0" applyFont="true" applyBorder="true" applyAlignment="false" applyProtection="false">
      <alignment horizontal="general" vertical="bottom" textRotation="0" wrapText="false" indent="0" shrinkToFit="false"/>
      <protection locked="true" hidden="false"/>
    </xf>
    <xf numFmtId="169" fontId="24" fillId="5" borderId="5" xfId="15" applyFont="true" applyBorder="true" applyAlignment="true" applyProtection="true">
      <alignment horizontal="general" vertical="bottom" textRotation="0" wrapText="false" indent="0" shrinkToFit="false"/>
      <protection locked="false" hidden="false"/>
    </xf>
    <xf numFmtId="165" fontId="24" fillId="0" borderId="12" xfId="0" applyFont="true" applyBorder="true" applyAlignment="true" applyProtection="true">
      <alignment horizontal="center" vertical="bottom" textRotation="0" wrapText="false" indent="0" shrinkToFit="false"/>
      <protection locked="false" hidden="false"/>
    </xf>
    <xf numFmtId="165" fontId="24" fillId="0" borderId="13" xfId="0" applyFont="true" applyBorder="true" applyAlignment="true" applyProtection="true">
      <alignment horizontal="center" vertical="bottom" textRotation="0" wrapText="false" indent="0" shrinkToFit="false"/>
      <protection locked="false" hidden="false"/>
    </xf>
    <xf numFmtId="165" fontId="27" fillId="0" borderId="0" xfId="0" applyFont="true" applyBorder="true" applyAlignment="true" applyProtection="false">
      <alignment horizontal="general" vertical="bottom" textRotation="0" wrapText="true" indent="0" shrinkToFit="false"/>
      <protection locked="true" hidden="false"/>
    </xf>
    <xf numFmtId="165" fontId="21" fillId="0" borderId="6" xfId="0" applyFont="true" applyBorder="true" applyAlignment="true" applyProtection="false">
      <alignment horizontal="general" vertical="bottom" textRotation="0" wrapText="false" indent="0" shrinkToFit="false"/>
      <protection locked="true" hidden="false"/>
    </xf>
    <xf numFmtId="170" fontId="24" fillId="0" borderId="6" xfId="0" applyFont="true" applyBorder="true" applyAlignment="false" applyProtection="false">
      <alignment horizontal="general" vertical="bottom" textRotation="0" wrapText="false" indent="0" shrinkToFit="false"/>
      <protection locked="true" hidden="false"/>
    </xf>
    <xf numFmtId="170" fontId="21" fillId="0" borderId="6" xfId="0" applyFont="true" applyBorder="true" applyAlignment="false" applyProtection="false">
      <alignment horizontal="general" vertical="bottom" textRotation="0" wrapText="false" indent="0" shrinkToFit="false"/>
      <protection locked="true" hidden="false"/>
    </xf>
    <xf numFmtId="165" fontId="24" fillId="0" borderId="14" xfId="0" applyFont="true" applyBorder="true" applyAlignment="true" applyProtection="true">
      <alignment horizontal="center" vertical="bottom" textRotation="0" wrapText="false" indent="0" shrinkToFit="false"/>
      <protection locked="false" hidden="false"/>
    </xf>
    <xf numFmtId="165" fontId="21" fillId="0" borderId="0" xfId="0" applyFont="true" applyBorder="true" applyAlignment="false" applyProtection="false">
      <alignment horizontal="general" vertical="bottom" textRotation="0" wrapText="false" indent="0" shrinkToFit="false"/>
      <protection locked="true" hidden="false"/>
    </xf>
    <xf numFmtId="172" fontId="24" fillId="0" borderId="0" xfId="0" applyFont="true" applyBorder="true" applyAlignment="false" applyProtection="false">
      <alignment horizontal="general" vertical="bottom" textRotation="0" wrapText="false" indent="0" shrinkToFit="false"/>
      <protection locked="true" hidden="false"/>
    </xf>
    <xf numFmtId="165" fontId="24" fillId="0" borderId="0" xfId="0" applyFont="true" applyBorder="true" applyAlignment="false" applyProtection="false">
      <alignment horizontal="general" vertical="bottom" textRotation="0" wrapText="false" indent="0" shrinkToFit="false"/>
      <protection locked="true" hidden="false"/>
    </xf>
    <xf numFmtId="165" fontId="24" fillId="0" borderId="0" xfId="0" applyFont="true" applyBorder="true" applyAlignment="false" applyProtection="true">
      <alignment horizontal="general" vertical="bottom" textRotation="0" wrapText="false" indent="0" shrinkToFit="false"/>
      <protection locked="false" hidden="false"/>
    </xf>
    <xf numFmtId="165" fontId="24" fillId="0" borderId="0" xfId="0" applyFont="true" applyBorder="false" applyAlignment="false" applyProtection="true">
      <alignment horizontal="general" vertical="bottom" textRotation="0" wrapText="false" indent="0" shrinkToFit="false"/>
      <protection locked="false" hidden="false"/>
    </xf>
    <xf numFmtId="165" fontId="21" fillId="0" borderId="3" xfId="0" applyFont="true" applyBorder="true" applyAlignment="false" applyProtection="false">
      <alignment horizontal="general" vertical="bottom" textRotation="0" wrapText="false" indent="0" shrinkToFit="false"/>
      <protection locked="true" hidden="false"/>
    </xf>
    <xf numFmtId="173" fontId="24" fillId="0" borderId="3" xfId="19" applyFont="true" applyBorder="true" applyAlignment="true" applyProtection="true">
      <alignment horizontal="general" vertical="bottom" textRotation="0" wrapText="false" indent="0" shrinkToFit="false"/>
      <protection locked="true" hidden="false"/>
    </xf>
    <xf numFmtId="165" fontId="21" fillId="0" borderId="3" xfId="0" applyFont="true" applyBorder="true" applyAlignment="true" applyProtection="false">
      <alignment horizontal="right" vertical="bottom" textRotation="0" wrapText="false" indent="0" shrinkToFit="false"/>
      <protection locked="true" hidden="false"/>
    </xf>
    <xf numFmtId="165" fontId="20" fillId="0" borderId="3" xfId="0" applyFont="true" applyBorder="true" applyAlignment="false" applyProtection="false">
      <alignment horizontal="general" vertical="bottom" textRotation="0" wrapText="false" indent="0" shrinkToFit="false"/>
      <protection locked="true" hidden="false"/>
    </xf>
    <xf numFmtId="165" fontId="21" fillId="0" borderId="1" xfId="0" applyFont="true" applyBorder="true" applyAlignment="false" applyProtection="false">
      <alignment horizontal="general" vertical="bottom" textRotation="0" wrapText="false" indent="0" shrinkToFit="false"/>
      <protection locked="true" hidden="false"/>
    </xf>
    <xf numFmtId="173" fontId="24" fillId="0" borderId="1" xfId="19" applyFont="true" applyBorder="true" applyAlignment="true" applyProtection="true">
      <alignment horizontal="general" vertical="bottom" textRotation="0" wrapText="false" indent="0" shrinkToFit="false"/>
      <protection locked="true" hidden="false"/>
    </xf>
    <xf numFmtId="165" fontId="24" fillId="0" borderId="1" xfId="0" applyFont="true" applyBorder="true" applyAlignment="false" applyProtection="false">
      <alignment horizontal="general" vertical="bottom" textRotation="0" wrapText="false" indent="0" shrinkToFit="false"/>
      <protection locked="true" hidden="false"/>
    </xf>
    <xf numFmtId="165" fontId="20" fillId="0" borderId="1" xfId="0" applyFont="true" applyBorder="true" applyAlignment="false" applyProtection="false">
      <alignment horizontal="general" vertical="bottom" textRotation="0" wrapText="false" indent="0" shrinkToFit="false"/>
      <protection locked="true" hidden="false"/>
    </xf>
    <xf numFmtId="165" fontId="21" fillId="0" borderId="1" xfId="0" applyFont="true" applyBorder="true" applyAlignment="true" applyProtection="false">
      <alignment horizontal="left" vertical="bottom" textRotation="0" wrapText="false" indent="2" shrinkToFit="false"/>
      <protection locked="true" hidden="false"/>
    </xf>
    <xf numFmtId="173" fontId="24" fillId="5" borderId="1" xfId="19" applyFont="true" applyBorder="true" applyAlignment="true" applyProtection="true">
      <alignment horizontal="general" vertical="bottom" textRotation="0" wrapText="false" indent="0" shrinkToFit="false"/>
      <protection locked="false" hidden="false"/>
    </xf>
    <xf numFmtId="174" fontId="24" fillId="5" borderId="1" xfId="15" applyFont="true" applyBorder="true" applyAlignment="true" applyProtection="true">
      <alignment horizontal="general" vertical="bottom" textRotation="0" wrapText="false" indent="0" shrinkToFit="false"/>
      <protection locked="false" hidden="false"/>
    </xf>
    <xf numFmtId="169" fontId="24" fillId="0" borderId="1" xfId="0" applyFont="true" applyBorder="true" applyAlignment="false" applyProtection="false">
      <alignment horizontal="general" vertical="bottom" textRotation="0" wrapText="false" indent="0" shrinkToFit="false"/>
      <protection locked="true" hidden="false"/>
    </xf>
    <xf numFmtId="165" fontId="28" fillId="6" borderId="0" xfId="20" applyFont="true" applyBorder="true" applyAlignment="true" applyProtection="true">
      <alignment horizontal="center" vertical="center" textRotation="0" wrapText="true" indent="0" shrinkToFit="false"/>
      <protection locked="true" hidden="false"/>
    </xf>
    <xf numFmtId="165" fontId="20" fillId="0" borderId="15" xfId="0" applyFont="true" applyBorder="true" applyAlignment="false" applyProtection="false">
      <alignment horizontal="general" vertical="bottom" textRotation="0" wrapText="false" indent="0" shrinkToFit="false"/>
      <protection locked="true" hidden="false"/>
    </xf>
    <xf numFmtId="170" fontId="21" fillId="0" borderId="1" xfId="0" applyFont="true" applyBorder="true" applyAlignment="false" applyProtection="false">
      <alignment horizontal="general" vertical="bottom" textRotation="0" wrapText="false" indent="0" shrinkToFit="false"/>
      <protection locked="true" hidden="false"/>
    </xf>
    <xf numFmtId="165" fontId="25" fillId="0" borderId="1" xfId="0" applyFont="true" applyBorder="true" applyAlignment="true" applyProtection="false">
      <alignment horizontal="center" vertical="bottom" textRotation="0" wrapText="false" indent="0" shrinkToFit="false"/>
      <protection locked="true" hidden="false"/>
    </xf>
    <xf numFmtId="170" fontId="24" fillId="0" borderId="6" xfId="0" applyFont="true" applyBorder="true" applyAlignment="false" applyProtection="false">
      <alignment horizontal="general" vertical="bottom" textRotation="0" wrapText="false" indent="0" shrinkToFit="false"/>
      <protection locked="true" hidden="false"/>
    </xf>
    <xf numFmtId="165" fontId="20" fillId="0" borderId="1" xfId="0" applyFont="true" applyBorder="true" applyAlignment="false" applyProtection="false">
      <alignment horizontal="general" vertical="bottom" textRotation="0" wrapText="false" indent="0" shrinkToFit="false"/>
      <protection locked="true" hidden="false"/>
    </xf>
    <xf numFmtId="165" fontId="21" fillId="0" borderId="1" xfId="0" applyFont="true" applyBorder="true" applyAlignment="true" applyProtection="false">
      <alignment horizontal="center" vertical="bottom" textRotation="0" wrapText="false" indent="0" shrinkToFit="false"/>
      <protection locked="true" hidden="false"/>
    </xf>
    <xf numFmtId="165" fontId="20" fillId="0" borderId="3" xfId="0" applyFont="true" applyBorder="true" applyAlignment="false" applyProtection="false">
      <alignment horizontal="general" vertical="bottom" textRotation="0" wrapText="false" indent="0" shrinkToFit="false"/>
      <protection locked="true" hidden="false"/>
    </xf>
    <xf numFmtId="165" fontId="30" fillId="0" borderId="0" xfId="0" applyFont="true" applyBorder="false" applyAlignment="false" applyProtection="false">
      <alignment horizontal="general" vertical="bottom" textRotation="0" wrapText="false" indent="0" shrinkToFit="false"/>
      <protection locked="true" hidden="false"/>
    </xf>
    <xf numFmtId="165" fontId="21" fillId="0" borderId="0" xfId="0" applyFont="true" applyBorder="false" applyAlignment="false" applyProtection="false">
      <alignment horizontal="general" vertical="bottom" textRotation="0" wrapText="false" indent="0" shrinkToFit="false"/>
      <protection locked="true" hidden="false"/>
    </xf>
    <xf numFmtId="164" fontId="25" fillId="4" borderId="2" xfId="26" applyFont="true" applyBorder="true" applyAlignment="false" applyProtection="true">
      <alignment horizontal="general" vertical="bottom" textRotation="0" wrapText="true" indent="0" shrinkToFit="false"/>
      <protection locked="true" hidden="false"/>
    </xf>
    <xf numFmtId="165" fontId="24" fillId="0" borderId="0" xfId="0" applyFont="true" applyBorder="false" applyAlignment="false" applyProtection="false">
      <alignment horizontal="general" vertical="bottom" textRotation="0" wrapText="false" indent="0" shrinkToFit="false"/>
      <protection locked="true" hidden="false"/>
    </xf>
    <xf numFmtId="165" fontId="24" fillId="0" borderId="3" xfId="0" applyFont="true" applyBorder="true" applyAlignment="false" applyProtection="false">
      <alignment horizontal="general" vertical="bottom" textRotation="0" wrapText="false" indent="0" shrinkToFit="false"/>
      <protection locked="true" hidden="false"/>
    </xf>
    <xf numFmtId="169" fontId="24" fillId="0" borderId="3" xfId="0" applyFont="true" applyBorder="true" applyAlignment="false" applyProtection="false">
      <alignment horizontal="general" vertical="bottom" textRotation="0" wrapText="false" indent="0" shrinkToFit="false"/>
      <protection locked="true" hidden="false"/>
    </xf>
    <xf numFmtId="165" fontId="27" fillId="0" borderId="0" xfId="0" applyFont="true" applyBorder="false" applyAlignment="false" applyProtection="false">
      <alignment horizontal="general" vertical="bottom" textRotation="0" wrapText="false" indent="0" shrinkToFit="false"/>
      <protection locked="true" hidden="false"/>
    </xf>
    <xf numFmtId="165" fontId="24" fillId="0" borderId="0" xfId="0" applyFont="true" applyBorder="false" applyAlignment="false" applyProtection="true">
      <alignment horizontal="general" vertical="bottom" textRotation="0" wrapText="false" indent="0" shrinkToFit="false"/>
      <protection locked="false" hidden="false"/>
    </xf>
    <xf numFmtId="165" fontId="24" fillId="0" borderId="1" xfId="0" applyFont="true" applyBorder="true" applyAlignment="false" applyProtection="false">
      <alignment horizontal="general" vertical="bottom" textRotation="0" wrapText="false" indent="0" shrinkToFit="false"/>
      <protection locked="true" hidden="false"/>
    </xf>
    <xf numFmtId="169" fontId="24" fillId="0" borderId="1" xfId="0" applyFont="true" applyBorder="true" applyAlignment="false" applyProtection="false">
      <alignment horizontal="general" vertical="bottom" textRotation="0" wrapText="false" indent="0" shrinkToFit="false"/>
      <protection locked="true" hidden="false"/>
    </xf>
    <xf numFmtId="165" fontId="31" fillId="0" borderId="0" xfId="0" applyFont="true" applyBorder="false" applyAlignment="false" applyProtection="false">
      <alignment horizontal="general" vertical="bottom" textRotation="0" wrapText="false" indent="0" shrinkToFit="false"/>
      <protection locked="true" hidden="false"/>
    </xf>
    <xf numFmtId="165" fontId="32" fillId="0" borderId="0" xfId="0" applyFont="true" applyBorder="false" applyAlignment="false" applyProtection="false">
      <alignment horizontal="general" vertical="bottom"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5" fontId="32" fillId="0" borderId="0" xfId="0" applyFont="true" applyBorder="false" applyAlignment="false" applyProtection="false">
      <alignment horizontal="general" vertical="bottom" textRotation="0" wrapText="false" indent="0" shrinkToFit="false"/>
      <protection locked="true" hidden="false"/>
    </xf>
    <xf numFmtId="165" fontId="32" fillId="0" borderId="0" xfId="0" applyFont="true" applyBorder="true" applyAlignment="fals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bottom" textRotation="0" wrapText="false" indent="0" shrinkToFit="false"/>
      <protection locked="true" hidden="false"/>
    </xf>
    <xf numFmtId="165" fontId="33" fillId="0" borderId="0" xfId="0" applyFont="true" applyBorder="true" applyAlignment="true" applyProtection="false">
      <alignment horizontal="general" vertical="center" textRotation="0" wrapText="false" indent="0" shrinkToFit="false"/>
      <protection locked="true" hidden="false"/>
    </xf>
    <xf numFmtId="165" fontId="33" fillId="0" borderId="0" xfId="0" applyFont="true" applyBorder="true" applyAlignment="true" applyProtection="false">
      <alignment horizontal="left" vertical="bottom" textRotation="0" wrapText="false" indent="0" shrinkToFit="false"/>
      <protection locked="tru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true" applyAlignment="true" applyProtection="false">
      <alignment horizontal="general" vertical="bottom" textRotation="0" wrapText="false" indent="0" shrinkToFit="false"/>
      <protection locked="true" hidden="false"/>
    </xf>
    <xf numFmtId="165" fontId="34" fillId="0" borderId="0" xfId="0" applyFont="true" applyBorder="false" applyAlignment="false" applyProtection="false">
      <alignment horizontal="general" vertical="bottom" textRotation="0" wrapText="false" indent="0" shrinkToFit="false"/>
      <protection locked="true" hidden="false"/>
    </xf>
    <xf numFmtId="165" fontId="34" fillId="0" borderId="0" xfId="0" applyFont="true" applyBorder="true" applyAlignment="false" applyProtection="false">
      <alignment horizontal="general" vertical="bottom" textRotation="0" wrapText="false" indent="0" shrinkToFit="false"/>
      <protection locked="true" hidden="false"/>
    </xf>
    <xf numFmtId="164" fontId="35" fillId="4" borderId="2" xfId="26" applyFont="true" applyBorder="true" applyAlignment="false" applyProtection="true">
      <alignment horizontal="general" vertical="bottom" textRotation="0" wrapText="true" indent="0" shrinkToFit="false"/>
      <protection locked="true" hidden="false"/>
    </xf>
    <xf numFmtId="165" fontId="35" fillId="4" borderId="2" xfId="26" applyFont="true" applyBorder="true" applyAlignment="false" applyProtection="true">
      <alignment horizontal="general" vertical="bottom" textRotation="0" wrapText="true" indent="0" shrinkToFit="false"/>
      <protection locked="true" hidden="false"/>
    </xf>
    <xf numFmtId="165" fontId="34" fillId="0" borderId="3" xfId="0" applyFont="true" applyBorder="true" applyAlignment="false" applyProtection="false">
      <alignment horizontal="general" vertical="bottom" textRotation="0" wrapText="false" indent="0" shrinkToFit="false"/>
      <protection locked="true" hidden="false"/>
    </xf>
    <xf numFmtId="175" fontId="34" fillId="5" borderId="3" xfId="0" applyFont="true" applyBorder="true" applyAlignment="false" applyProtection="true">
      <alignment horizontal="general" vertical="bottom" textRotation="0" wrapText="false" indent="0" shrinkToFit="false"/>
      <protection locked="false" hidden="false"/>
    </xf>
    <xf numFmtId="176" fontId="34" fillId="5" borderId="3" xfId="17" applyFont="true" applyBorder="true" applyAlignment="true" applyProtection="true">
      <alignment horizontal="general" vertical="bottom" textRotation="0" wrapText="false" indent="0" shrinkToFit="false"/>
      <protection locked="false" hidden="false"/>
    </xf>
    <xf numFmtId="177" fontId="34" fillId="5" borderId="3" xfId="15" applyFont="true" applyBorder="true" applyAlignment="true" applyProtection="true">
      <alignment horizontal="general" vertical="bottom" textRotation="0" wrapText="false" indent="0" shrinkToFit="false"/>
      <protection locked="false" hidden="false"/>
    </xf>
    <xf numFmtId="170" fontId="34" fillId="0" borderId="3" xfId="0" applyFont="true" applyBorder="true" applyAlignment="false" applyProtection="false">
      <alignment horizontal="general" vertical="bottom" textRotation="0" wrapText="false" indent="0" shrinkToFit="false"/>
      <protection locked="true" hidden="false"/>
    </xf>
    <xf numFmtId="169" fontId="34" fillId="5" borderId="3" xfId="17" applyFont="true" applyBorder="true" applyAlignment="true" applyProtection="true">
      <alignment horizontal="general" vertical="bottom" textRotation="0" wrapText="false" indent="0" shrinkToFit="false"/>
      <protection locked="false" hidden="false"/>
    </xf>
    <xf numFmtId="170" fontId="34" fillId="0" borderId="3" xfId="17"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false" applyProtection="false">
      <alignment horizontal="general" vertical="bottom" textRotation="0" wrapText="false" indent="0" shrinkToFit="false"/>
      <protection locked="true" hidden="false"/>
    </xf>
    <xf numFmtId="175" fontId="34" fillId="5" borderId="1" xfId="0" applyFont="true" applyBorder="true" applyAlignment="false" applyProtection="true">
      <alignment horizontal="general" vertical="bottom" textRotation="0" wrapText="false" indent="0" shrinkToFit="false"/>
      <protection locked="false" hidden="false"/>
    </xf>
    <xf numFmtId="176" fontId="34" fillId="5" borderId="1" xfId="17" applyFont="true" applyBorder="true" applyAlignment="true" applyProtection="true">
      <alignment horizontal="general" vertical="bottom" textRotation="0" wrapText="false" indent="0" shrinkToFit="false"/>
      <protection locked="false" hidden="false"/>
    </xf>
    <xf numFmtId="177" fontId="34" fillId="5" borderId="1" xfId="15" applyFont="true" applyBorder="true" applyAlignment="true" applyProtection="true">
      <alignment horizontal="general" vertical="bottom" textRotation="0" wrapText="false" indent="0" shrinkToFit="false"/>
      <protection locked="false" hidden="false"/>
    </xf>
    <xf numFmtId="170" fontId="34" fillId="0" borderId="1" xfId="0" applyFont="true" applyBorder="true" applyAlignment="false" applyProtection="false">
      <alignment horizontal="general" vertical="bottom" textRotation="0" wrapText="false" indent="0" shrinkToFit="false"/>
      <protection locked="true" hidden="false"/>
    </xf>
    <xf numFmtId="169" fontId="34" fillId="5" borderId="1" xfId="17" applyFont="true" applyBorder="true" applyAlignment="true" applyProtection="true">
      <alignment horizontal="general" vertical="bottom" textRotation="0" wrapText="false" indent="0" shrinkToFit="false"/>
      <protection locked="false" hidden="false"/>
    </xf>
    <xf numFmtId="170" fontId="34" fillId="0" borderId="1" xfId="17" applyFont="true" applyBorder="true" applyAlignment="true" applyProtection="true">
      <alignment horizontal="general" vertical="bottom" textRotation="0" wrapText="false" indent="0" shrinkToFit="false"/>
      <protection locked="true" hidden="false"/>
    </xf>
    <xf numFmtId="165" fontId="10" fillId="0" borderId="1" xfId="0" applyFont="true" applyBorder="true" applyAlignment="false" applyProtection="false">
      <alignment horizontal="general" vertical="bottom" textRotation="0" wrapText="false" indent="0" shrinkToFit="false"/>
      <protection locked="true" hidden="false"/>
    </xf>
    <xf numFmtId="175" fontId="10" fillId="0" borderId="1" xfId="0" applyFont="true" applyBorder="true" applyAlignment="false" applyProtection="false">
      <alignment horizontal="general" vertical="bottom" textRotation="0" wrapText="false" indent="0" shrinkToFit="false"/>
      <protection locked="true" hidden="false"/>
    </xf>
    <xf numFmtId="167" fontId="34" fillId="0" borderId="1" xfId="17" applyFont="true" applyBorder="true" applyAlignment="true" applyProtection="true">
      <alignment horizontal="center" vertical="bottom" textRotation="0" wrapText="false" indent="0" shrinkToFit="false"/>
      <protection locked="true" hidden="false"/>
    </xf>
    <xf numFmtId="177" fontId="34" fillId="0" borderId="1" xfId="0" applyFont="true" applyBorder="true" applyAlignment="false" applyProtection="false">
      <alignment horizontal="general" vertical="bottom" textRotation="0" wrapText="false" indent="0" shrinkToFit="false"/>
      <protection locked="true" hidden="false"/>
    </xf>
    <xf numFmtId="165" fontId="10" fillId="4" borderId="1" xfId="0" applyFont="true" applyBorder="true" applyAlignment="false" applyProtection="false">
      <alignment horizontal="general" vertical="bottom" textRotation="0" wrapText="false" indent="0" shrinkToFit="false"/>
      <protection locked="true" hidden="false"/>
    </xf>
    <xf numFmtId="165" fontId="34" fillId="4" borderId="1" xfId="0" applyFont="true" applyBorder="true" applyAlignment="true" applyProtection="false">
      <alignment horizontal="center" vertical="bottom" textRotation="0" wrapText="false" indent="0" shrinkToFit="false"/>
      <protection locked="true" hidden="false"/>
    </xf>
    <xf numFmtId="165" fontId="34" fillId="4" borderId="1" xfId="0" applyFont="true" applyBorder="true" applyAlignment="false" applyProtection="false">
      <alignment horizontal="general" vertical="bottom" textRotation="0" wrapText="false" indent="0" shrinkToFit="false"/>
      <protection locked="true" hidden="false"/>
    </xf>
    <xf numFmtId="165" fontId="32" fillId="4" borderId="1" xfId="0" applyFont="true" applyBorder="true" applyAlignment="false" applyProtection="false">
      <alignment horizontal="general" vertical="bottom" textRotation="0" wrapText="false" indent="0" shrinkToFit="false"/>
      <protection locked="true" hidden="false"/>
    </xf>
    <xf numFmtId="167" fontId="34" fillId="4" borderId="1" xfId="17" applyFont="true" applyBorder="true" applyAlignment="true" applyProtection="true">
      <alignment horizontal="general" vertical="bottom" textRotation="0" wrapText="false" indent="0" shrinkToFit="false"/>
      <protection locked="true" hidden="false"/>
    </xf>
    <xf numFmtId="173" fontId="34" fillId="5" borderId="3" xfId="19" applyFont="true" applyBorder="true" applyAlignment="true" applyProtection="true">
      <alignment horizontal="general" vertical="bottom" textRotation="0" wrapText="false" indent="0" shrinkToFit="false"/>
      <protection locked="false" hidden="false"/>
    </xf>
    <xf numFmtId="173" fontId="34" fillId="0" borderId="3" xfId="19" applyFont="true" applyBorder="true" applyAlignment="true" applyProtection="true">
      <alignment horizontal="general" vertical="bottom" textRotation="0" wrapText="false" indent="0" shrinkToFit="false"/>
      <protection locked="false" hidden="false"/>
    </xf>
    <xf numFmtId="170" fontId="34" fillId="0" borderId="3" xfId="19"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true" applyProtection="false">
      <alignment horizontal="right" vertical="bottom" textRotation="0" wrapText="false" indent="0" shrinkToFit="false"/>
      <protection locked="true" hidden="false"/>
    </xf>
    <xf numFmtId="173" fontId="34" fillId="5" borderId="1" xfId="19" applyFont="true" applyBorder="true" applyAlignment="true" applyProtection="true">
      <alignment horizontal="general" vertical="bottom" textRotation="0" wrapText="false" indent="0" shrinkToFit="false"/>
      <protection locked="false" hidden="false"/>
    </xf>
    <xf numFmtId="173" fontId="34" fillId="0" borderId="1" xfId="19" applyFont="true" applyBorder="true" applyAlignment="true" applyProtection="true">
      <alignment horizontal="general" vertical="bottom" textRotation="0" wrapText="false" indent="0" shrinkToFit="false"/>
      <protection locked="false" hidden="false"/>
    </xf>
    <xf numFmtId="170" fontId="34" fillId="0" borderId="1" xfId="19" applyFont="true" applyBorder="true" applyAlignment="true" applyProtection="true">
      <alignment horizontal="general" vertical="bottom" textRotation="0" wrapText="false" indent="0" shrinkToFit="false"/>
      <protection locked="true" hidden="false"/>
    </xf>
    <xf numFmtId="170" fontId="34" fillId="0" borderId="1" xfId="0" applyFont="true" applyBorder="true" applyAlignment="true" applyProtection="false">
      <alignment horizontal="right" vertical="bottom" textRotation="0" wrapText="false" indent="0" shrinkToFit="false"/>
      <protection locked="true" hidden="false"/>
    </xf>
    <xf numFmtId="173" fontId="34" fillId="0" borderId="1" xfId="0" applyFont="true" applyBorder="true" applyAlignment="false" applyProtection="true">
      <alignment horizontal="general" vertical="bottom" textRotation="0" wrapText="false" indent="0" shrinkToFit="false"/>
      <protection locked="false" hidden="false"/>
    </xf>
    <xf numFmtId="173" fontId="34" fillId="0" borderId="1" xfId="0" applyFont="true" applyBorder="true" applyAlignment="true" applyProtection="false">
      <alignment horizontal="center" vertical="bottom" textRotation="0" wrapText="false" indent="0" shrinkToFit="false"/>
      <protection locked="true" hidden="false"/>
    </xf>
    <xf numFmtId="165" fontId="34" fillId="0" borderId="1" xfId="0" applyFont="true" applyBorder="true" applyAlignment="true" applyProtection="false">
      <alignment horizontal="center" vertical="bottom" textRotation="0" wrapText="false" indent="0" shrinkToFit="false"/>
      <protection locked="true" hidden="false"/>
    </xf>
    <xf numFmtId="170" fontId="10" fillId="0" borderId="1" xfId="0" applyFont="true" applyBorder="true" applyAlignment="false" applyProtection="false">
      <alignment horizontal="general" vertical="bottom" textRotation="0" wrapText="false" indent="0" shrinkToFit="false"/>
      <protection locked="true" hidden="false"/>
    </xf>
    <xf numFmtId="165" fontId="38" fillId="0" borderId="0" xfId="0" applyFont="true" applyBorder="true" applyAlignment="true" applyProtection="false">
      <alignment horizontal="center" vertical="center" textRotation="0" wrapText="false" indent="0" shrinkToFit="false"/>
      <protection locked="true" hidden="false"/>
    </xf>
    <xf numFmtId="165" fontId="34"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true" applyAlignment="true" applyProtection="false">
      <alignment horizontal="left" vertical="bottom" textRotation="0" wrapText="false" indent="0" shrinkToFit="false"/>
      <protection locked="true" hidden="false"/>
    </xf>
    <xf numFmtId="169" fontId="34" fillId="0" borderId="0" xfId="17" applyFont="true" applyBorder="true" applyAlignment="true" applyProtection="true">
      <alignment horizontal="general" vertical="bottom" textRotation="0" wrapText="false" indent="0" shrinkToFit="false"/>
      <protection locked="false" hidden="false"/>
    </xf>
    <xf numFmtId="170" fontId="39" fillId="0" borderId="0" xfId="17" applyFont="true" applyBorder="true" applyAlignment="true" applyProtection="true">
      <alignment horizontal="general" vertical="bottom" textRotation="0" wrapText="false" indent="0" shrinkToFit="false"/>
      <protection locked="true" hidden="false"/>
    </xf>
    <xf numFmtId="165" fontId="38" fillId="0" borderId="0" xfId="0" applyFont="true" applyBorder="true" applyAlignment="false" applyProtection="false">
      <alignment horizontal="general" vertical="bottom" textRotation="0" wrapText="false" indent="0" shrinkToFit="false"/>
      <protection locked="true" hidden="false"/>
    </xf>
    <xf numFmtId="169" fontId="34" fillId="0" borderId="3" xfId="17" applyFont="true" applyBorder="true" applyAlignment="true" applyProtection="true">
      <alignment horizontal="general" vertical="bottom" textRotation="0" wrapText="false" indent="0" shrinkToFit="false"/>
      <protection locked="true" hidden="false"/>
    </xf>
    <xf numFmtId="178" fontId="34" fillId="5" borderId="3" xfId="0" applyFont="true" applyBorder="true" applyAlignment="false" applyProtection="true">
      <alignment horizontal="general" vertical="bottom" textRotation="0" wrapText="false" indent="0" shrinkToFit="false"/>
      <protection locked="false" hidden="false"/>
    </xf>
    <xf numFmtId="169" fontId="34" fillId="0" borderId="3" xfId="15" applyFont="true" applyBorder="true" applyAlignment="true" applyProtection="true">
      <alignment horizontal="general" vertical="bottom" textRotation="0" wrapText="false" indent="0" shrinkToFit="false"/>
      <protection locked="true" hidden="false"/>
    </xf>
    <xf numFmtId="165" fontId="10" fillId="0" borderId="0" xfId="0" applyFont="true" applyBorder="true" applyAlignment="false" applyProtection="false">
      <alignment horizontal="general" vertical="bottom" textRotation="0" wrapText="false" indent="0" shrinkToFit="false"/>
      <protection locked="true" hidden="false"/>
    </xf>
    <xf numFmtId="169" fontId="34" fillId="0" borderId="1" xfId="17" applyFont="true" applyBorder="true" applyAlignment="true" applyProtection="true">
      <alignment horizontal="general" vertical="bottom" textRotation="0" wrapText="false" indent="0" shrinkToFit="false"/>
      <protection locked="true" hidden="false"/>
    </xf>
    <xf numFmtId="178" fontId="34" fillId="5" borderId="1" xfId="0" applyFont="true" applyBorder="true" applyAlignment="false" applyProtection="true">
      <alignment horizontal="general" vertical="bottom" textRotation="0" wrapText="false" indent="0" shrinkToFit="false"/>
      <protection locked="false" hidden="false"/>
    </xf>
    <xf numFmtId="169" fontId="34" fillId="0" borderId="1" xfId="15" applyFont="true" applyBorder="true" applyAlignment="true" applyProtection="true">
      <alignment horizontal="general" vertical="bottom" textRotation="0" wrapText="false" indent="0" shrinkToFit="false"/>
      <protection locked="true" hidden="false"/>
    </xf>
    <xf numFmtId="167" fontId="34" fillId="0" borderId="0" xfId="17" applyFont="true" applyBorder="true" applyAlignment="true" applyProtection="true">
      <alignment horizontal="general" vertical="bottom" textRotation="0" wrapText="false" indent="0" shrinkToFit="false"/>
      <protection locked="true" hidden="false"/>
    </xf>
    <xf numFmtId="178" fontId="34" fillId="0" borderId="1" xfId="0" applyFont="true" applyBorder="true" applyAlignment="false" applyProtection="true">
      <alignment horizontal="general" vertical="bottom" textRotation="0" wrapText="false" indent="0" shrinkToFit="false"/>
      <protection locked="false" hidden="false"/>
    </xf>
    <xf numFmtId="170" fontId="34" fillId="0" borderId="1" xfId="15" applyFont="true" applyBorder="true" applyAlignment="true" applyProtection="true">
      <alignment horizontal="general" vertical="bottom" textRotation="0" wrapText="false" indent="0" shrinkToFit="false"/>
      <protection locked="true" hidden="false"/>
    </xf>
    <xf numFmtId="167" fontId="34" fillId="0" borderId="1" xfId="17" applyFont="true" applyBorder="true" applyAlignment="true" applyProtection="true">
      <alignment horizontal="general" vertical="bottom" textRotation="0" wrapText="false" indent="0" shrinkToFit="false"/>
      <protection locked="true" hidden="false"/>
    </xf>
    <xf numFmtId="164" fontId="35" fillId="4" borderId="2" xfId="26" applyFont="true" applyBorder="true" applyAlignment="false" applyProtection="true">
      <alignment horizontal="general" vertical="bottom" textRotation="0" wrapText="true" indent="0" shrinkToFit="false"/>
      <protection locked="false" hidden="false"/>
    </xf>
    <xf numFmtId="172" fontId="39" fillId="0" borderId="0" xfId="0" applyFont="true" applyBorder="true" applyAlignment="false" applyProtection="false">
      <alignment horizontal="general" vertical="bottom" textRotation="0" wrapText="false" indent="0" shrinkToFit="false"/>
      <protection locked="true" hidden="false"/>
    </xf>
    <xf numFmtId="170" fontId="39" fillId="0" borderId="0" xfId="0" applyFont="true" applyBorder="true" applyAlignment="false" applyProtection="false">
      <alignment horizontal="general" vertical="bottom" textRotation="0" wrapText="false" indent="0" shrinkToFit="false"/>
      <protection locked="true" hidden="false"/>
    </xf>
    <xf numFmtId="167" fontId="39" fillId="0" borderId="0" xfId="0" applyFont="true" applyBorder="true" applyAlignment="false" applyProtection="false">
      <alignment horizontal="general" vertical="bottom" textRotation="0" wrapText="false" indent="0" shrinkToFit="false"/>
      <protection locked="true" hidden="false"/>
    </xf>
    <xf numFmtId="167" fontId="38" fillId="0" borderId="0" xfId="0" applyFont="true" applyBorder="true" applyAlignment="false" applyProtection="false">
      <alignment horizontal="general" vertical="bottom" textRotation="0" wrapText="false" indent="0" shrinkToFit="false"/>
      <protection locked="true" hidden="false"/>
    </xf>
    <xf numFmtId="170" fontId="10" fillId="0" borderId="1" xfId="15" applyFont="true" applyBorder="true" applyAlignment="true" applyProtection="tru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center" textRotation="0" wrapText="false" indent="0" shrinkToFit="false"/>
      <protection locked="true" hidden="false"/>
    </xf>
    <xf numFmtId="165" fontId="32" fillId="0" borderId="0" xfId="0" applyFont="true" applyBorder="false" applyAlignment="false" applyProtection="true">
      <alignment horizontal="general" vertical="bottom" textRotation="0" wrapText="false" indent="0" shrinkToFit="false"/>
      <protection locked="true" hidden="false"/>
    </xf>
    <xf numFmtId="165" fontId="32" fillId="0" borderId="0" xfId="0" applyFont="true" applyBorder="false" applyAlignment="false" applyProtection="true">
      <alignment horizontal="general" vertical="bottom" textRotation="0" wrapText="false" indent="0" shrinkToFit="false"/>
      <protection locked="false" hidden="false"/>
    </xf>
    <xf numFmtId="165" fontId="35" fillId="0" borderId="2" xfId="0" applyFont="true" applyBorder="true" applyAlignment="true" applyProtection="false">
      <alignment horizontal="left" vertical="bottom" textRotation="0" wrapText="false" indent="0" shrinkToFit="false"/>
      <protection locked="true" hidden="false"/>
    </xf>
    <xf numFmtId="165" fontId="10" fillId="0" borderId="3" xfId="0" applyFont="true" applyBorder="true" applyAlignment="true" applyProtection="false">
      <alignment horizontal="center" vertical="center" textRotation="0" wrapText="true" indent="0" shrinkToFit="false"/>
      <protection locked="true" hidden="false"/>
    </xf>
    <xf numFmtId="165" fontId="10" fillId="0" borderId="3" xfId="0" applyFont="true" applyBorder="true" applyAlignment="true" applyProtection="false">
      <alignment horizontal="center" vertical="bottom" textRotation="0" wrapText="true" indent="0" shrinkToFit="false"/>
      <protection locked="true" hidden="false"/>
    </xf>
    <xf numFmtId="165" fontId="40" fillId="0" borderId="3" xfId="20" applyFont="true" applyBorder="true" applyAlignment="true" applyProtection="true">
      <alignment horizontal="center" vertical="center" textRotation="0" wrapText="true" indent="0" shrinkToFit="false"/>
      <protection locked="true" hidden="false"/>
    </xf>
    <xf numFmtId="165" fontId="10" fillId="0" borderId="1" xfId="0" applyFont="true" applyBorder="true" applyAlignment="true" applyProtection="false">
      <alignment horizontal="center" vertical="bottom" textRotation="0" wrapText="true" indent="0" shrinkToFit="false"/>
      <protection locked="true" hidden="false"/>
    </xf>
    <xf numFmtId="165" fontId="41" fillId="0" borderId="0" xfId="0" applyFont="true" applyBorder="true" applyAlignment="true" applyProtection="false">
      <alignment horizontal="center" vertical="bottom" textRotation="0" wrapText="false" indent="0" shrinkToFit="false"/>
      <protection locked="true" hidden="false"/>
    </xf>
    <xf numFmtId="165" fontId="42" fillId="0" borderId="0" xfId="20" applyFont="true" applyBorder="true" applyAlignment="true" applyProtection="true">
      <alignment horizontal="general" vertical="center" textRotation="0" wrapText="false" indent="0" shrinkToFit="false"/>
      <protection locked="true" hidden="false"/>
    </xf>
    <xf numFmtId="165" fontId="34" fillId="5" borderId="1" xfId="0" applyFont="true" applyBorder="true" applyAlignment="true" applyProtection="true">
      <alignment horizontal="right" vertical="center" textRotation="0" wrapText="false" indent="0" shrinkToFit="false"/>
      <protection locked="false" hidden="false"/>
    </xf>
    <xf numFmtId="167" fontId="34" fillId="5" borderId="1" xfId="0" applyFont="true" applyBorder="true" applyAlignment="true" applyProtection="true">
      <alignment horizontal="right" vertical="center" textRotation="0" wrapText="false" indent="0" shrinkToFit="false"/>
      <protection locked="false" hidden="false"/>
    </xf>
    <xf numFmtId="167" fontId="32" fillId="5" borderId="1" xfId="0" applyFont="true" applyBorder="true" applyAlignment="false" applyProtection="true">
      <alignment horizontal="general" vertical="bottom" textRotation="0" wrapText="false" indent="0" shrinkToFit="false"/>
      <protection locked="false" hidden="false"/>
    </xf>
    <xf numFmtId="167" fontId="10" fillId="0" borderId="1" xfId="0" applyFont="true" applyBorder="true" applyAlignment="false" applyProtection="false">
      <alignment horizontal="general" vertical="bottom" textRotation="0" wrapText="false" indent="0" shrinkToFit="false"/>
      <protection locked="true" hidden="false"/>
    </xf>
    <xf numFmtId="168" fontId="39" fillId="0" borderId="0" xfId="0" applyFont="true" applyBorder="true" applyAlignment="false" applyProtection="false">
      <alignment horizontal="general" vertical="bottom" textRotation="0" wrapText="false" indent="0" shrinkToFit="false"/>
      <protection locked="true" hidden="false"/>
    </xf>
    <xf numFmtId="165" fontId="43" fillId="0" borderId="0" xfId="0" applyFont="true" applyBorder="true" applyAlignment="true" applyProtection="true">
      <alignment horizontal="center" vertical="center" textRotation="0" wrapText="false" indent="0" shrinkToFit="false"/>
      <protection locked="true" hidden="false"/>
    </xf>
    <xf numFmtId="165" fontId="44" fillId="0" borderId="3" xfId="0" applyFont="true" applyBorder="true" applyAlignment="true" applyProtection="true">
      <alignment horizontal="right" vertical="center" textRotation="0" wrapText="false" indent="0" shrinkToFit="false"/>
      <protection locked="true" hidden="false"/>
    </xf>
    <xf numFmtId="171" fontId="32" fillId="0" borderId="3" xfId="15" applyFont="true" applyBorder="true" applyAlignment="true" applyProtection="true">
      <alignment horizontal="right" vertical="center" textRotation="0" wrapText="false" indent="0" shrinkToFit="false"/>
      <protection locked="false" hidden="false"/>
    </xf>
    <xf numFmtId="165" fontId="10" fillId="0" borderId="3" xfId="0" applyFont="true" applyBorder="true" applyAlignment="true" applyProtection="false">
      <alignment horizontal="right" vertical="center" textRotation="0" wrapText="false" indent="0" shrinkToFit="false"/>
      <protection locked="true" hidden="false"/>
    </xf>
    <xf numFmtId="165" fontId="32" fillId="0" borderId="1" xfId="0" applyFont="true" applyBorder="true" applyAlignment="true" applyProtection="true">
      <alignment horizontal="right" vertical="center" textRotation="0" wrapText="false" indent="0" shrinkToFit="false"/>
      <protection locked="true" hidden="false"/>
    </xf>
    <xf numFmtId="177" fontId="32" fillId="5" borderId="1" xfId="15" applyFont="true" applyBorder="true" applyAlignment="true" applyProtection="true">
      <alignment horizontal="right" vertical="center" textRotation="0" wrapText="false" indent="0" shrinkToFit="false"/>
      <protection locked="false" hidden="false"/>
    </xf>
    <xf numFmtId="177" fontId="10" fillId="0" borderId="15" xfId="0" applyFont="true" applyBorder="true" applyAlignment="true" applyProtection="false">
      <alignment horizontal="right" vertical="center" textRotation="0" wrapText="false" indent="0" shrinkToFit="false"/>
      <protection locked="true" hidden="false"/>
    </xf>
    <xf numFmtId="178" fontId="10" fillId="0" borderId="1" xfId="0" applyFont="true" applyBorder="true" applyAlignment="true" applyProtection="false">
      <alignment horizontal="right" vertical="center" textRotation="0" wrapText="false" indent="0" shrinkToFit="false"/>
      <protection locked="true" hidden="false"/>
    </xf>
    <xf numFmtId="165" fontId="32" fillId="0" borderId="15" xfId="0" applyFont="true" applyBorder="true" applyAlignment="true" applyProtection="true">
      <alignment horizontal="right" vertical="center" textRotation="0" wrapText="false" indent="0" shrinkToFit="false"/>
      <protection locked="true" hidden="false"/>
    </xf>
    <xf numFmtId="169" fontId="32" fillId="4" borderId="15" xfId="15" applyFont="true" applyBorder="true" applyAlignment="true" applyProtection="true">
      <alignment horizontal="right" vertical="center" textRotation="0" wrapText="false" indent="0" shrinkToFit="false"/>
      <protection locked="true" hidden="false"/>
    </xf>
    <xf numFmtId="170" fontId="10" fillId="0" borderId="15" xfId="0" applyFont="true" applyBorder="true" applyAlignment="true" applyProtection="false">
      <alignment horizontal="right" vertical="center" textRotation="0" wrapText="false" indent="0" shrinkToFit="false"/>
      <protection locked="true" hidden="false"/>
    </xf>
    <xf numFmtId="178" fontId="10" fillId="0" borderId="1" xfId="0" applyFont="true" applyBorder="true" applyAlignment="false" applyProtection="false">
      <alignment horizontal="general" vertical="bottom" textRotation="0" wrapText="false" indent="0" shrinkToFit="false"/>
      <protection locked="true" hidden="false"/>
    </xf>
    <xf numFmtId="169" fontId="32" fillId="4" borderId="1" xfId="15" applyFont="true" applyBorder="true" applyAlignment="true" applyProtection="true">
      <alignment horizontal="right" vertical="center" textRotation="0" wrapText="false" indent="0" shrinkToFit="false"/>
      <protection locked="true" hidden="false"/>
    </xf>
    <xf numFmtId="165" fontId="32" fillId="4" borderId="6" xfId="0" applyFont="true" applyBorder="true" applyAlignment="true" applyProtection="true">
      <alignment horizontal="right" vertical="center" textRotation="0" wrapText="false" indent="0" shrinkToFit="false"/>
      <protection locked="true" hidden="false"/>
    </xf>
    <xf numFmtId="166" fontId="32" fillId="4" borderId="7" xfId="15" applyFont="true" applyBorder="true" applyAlignment="true" applyProtection="true">
      <alignment horizontal="right" vertical="center" textRotation="0" wrapText="false" indent="0" shrinkToFit="false"/>
      <protection locked="true" hidden="false"/>
    </xf>
    <xf numFmtId="166" fontId="32" fillId="4" borderId="7" xfId="15" applyFont="true" applyBorder="true" applyAlignment="true" applyProtection="true">
      <alignment horizontal="right" vertical="center" textRotation="0" wrapText="false" indent="0" shrinkToFit="false"/>
      <protection locked="false" hidden="false"/>
    </xf>
    <xf numFmtId="165" fontId="10" fillId="0" borderId="16" xfId="0" applyFont="true" applyBorder="true" applyAlignment="true" applyProtection="false">
      <alignment horizontal="right" vertical="center" textRotation="0" wrapText="false" indent="0" shrinkToFit="false"/>
      <protection locked="true" hidden="false"/>
    </xf>
    <xf numFmtId="168" fontId="10" fillId="0" borderId="1" xfId="0" applyFont="true" applyBorder="true" applyAlignment="true" applyProtection="false">
      <alignment horizontal="right" vertical="center" textRotation="0" wrapText="false" indent="0" shrinkToFit="false"/>
      <protection locked="true" hidden="false"/>
    </xf>
    <xf numFmtId="165" fontId="44" fillId="0" borderId="1" xfId="0" applyFont="true" applyBorder="true" applyAlignment="true" applyProtection="true">
      <alignment horizontal="right" vertical="center" textRotation="0" wrapText="false" indent="0" shrinkToFit="false"/>
      <protection locked="true" hidden="false"/>
    </xf>
    <xf numFmtId="166" fontId="32" fillId="4" borderId="3" xfId="15" applyFont="true" applyBorder="true" applyAlignment="true" applyProtection="true">
      <alignment horizontal="right" vertical="center" textRotation="0" wrapText="false" indent="0" shrinkToFit="false"/>
      <protection locked="false" hidden="false"/>
    </xf>
    <xf numFmtId="177" fontId="10" fillId="0" borderId="1" xfId="0" applyFont="true" applyBorder="true" applyAlignment="true" applyProtection="false">
      <alignment horizontal="right" vertical="center" textRotation="0" wrapText="false" indent="0" shrinkToFit="false"/>
      <protection locked="true" hidden="false"/>
    </xf>
    <xf numFmtId="165" fontId="34" fillId="0" borderId="1" xfId="0" applyFont="true" applyBorder="true" applyAlignment="true" applyProtection="true">
      <alignment horizontal="right" vertical="center" textRotation="0" wrapText="false" indent="0" shrinkToFit="false"/>
      <protection locked="true" hidden="false"/>
    </xf>
    <xf numFmtId="170" fontId="10" fillId="0" borderId="1" xfId="0" applyFont="true" applyBorder="true" applyAlignment="true" applyProtection="false">
      <alignment horizontal="right" vertical="center" textRotation="0" wrapText="false" indent="0" shrinkToFit="false"/>
      <protection locked="true" hidden="false"/>
    </xf>
    <xf numFmtId="166" fontId="32" fillId="4" borderId="3" xfId="0" applyFont="true" applyBorder="true" applyAlignment="true" applyProtection="true">
      <alignment horizontal="right" vertical="center" textRotation="0" wrapText="false" indent="0" shrinkToFit="false"/>
      <protection locked="true" hidden="false"/>
    </xf>
    <xf numFmtId="166" fontId="32" fillId="4" borderId="3" xfId="0" applyFont="true" applyBorder="true" applyAlignment="true" applyProtection="false">
      <alignment horizontal="right" vertical="center" textRotation="0" wrapText="false" indent="0" shrinkToFit="false"/>
      <protection locked="true" hidden="false"/>
    </xf>
    <xf numFmtId="169" fontId="34" fillId="4" borderId="1" xfId="15" applyFont="true" applyBorder="true" applyAlignment="true" applyProtection="true">
      <alignment horizontal="right" vertical="center" textRotation="0" wrapText="false" indent="0" shrinkToFit="false"/>
      <protection locked="true" hidden="false"/>
    </xf>
    <xf numFmtId="165" fontId="32" fillId="0" borderId="6" xfId="0" applyFont="true" applyBorder="true" applyAlignment="true" applyProtection="true">
      <alignment horizontal="right" vertical="center" textRotation="0" wrapText="false" indent="0" shrinkToFit="false"/>
      <protection locked="true" hidden="false"/>
    </xf>
    <xf numFmtId="177" fontId="32" fillId="5" borderId="1" xfId="0" applyFont="true" applyBorder="true" applyAlignment="true" applyProtection="true">
      <alignment horizontal="right" vertical="center" textRotation="0" wrapText="false" indent="0" shrinkToFit="false"/>
      <protection locked="false" hidden="false"/>
    </xf>
    <xf numFmtId="166" fontId="32" fillId="4" borderId="7" xfId="0" applyFont="true" applyBorder="true" applyAlignment="true" applyProtection="false">
      <alignment horizontal="right" vertical="center" textRotation="0" wrapText="false" indent="0" shrinkToFit="false"/>
      <protection locked="true" hidden="false"/>
    </xf>
    <xf numFmtId="171" fontId="10" fillId="0" borderId="15" xfId="0" applyFont="true" applyBorder="true" applyAlignment="true" applyProtection="false">
      <alignment horizontal="right" vertical="center" textRotation="0" wrapText="false" indent="0" shrinkToFit="false"/>
      <protection locked="true" hidden="false"/>
    </xf>
    <xf numFmtId="169" fontId="32" fillId="0" borderId="1" xfId="15" applyFont="true" applyBorder="true" applyAlignment="true" applyProtection="true">
      <alignment horizontal="right" vertical="center" textRotation="0" wrapText="false" indent="0" shrinkToFit="false"/>
      <protection locked="true" hidden="false"/>
    </xf>
    <xf numFmtId="166" fontId="32" fillId="0" borderId="7" xfId="15" applyFont="true" applyBorder="true" applyAlignment="true" applyProtection="true">
      <alignment horizontal="right" vertical="center" textRotation="0" wrapText="false" indent="0" shrinkToFit="false"/>
      <protection locked="false" hidden="false"/>
    </xf>
    <xf numFmtId="166" fontId="32" fillId="0" borderId="3" xfId="15" applyFont="true" applyBorder="true" applyAlignment="true" applyProtection="true">
      <alignment horizontal="right" vertical="center" textRotation="0" wrapText="false" indent="0" shrinkToFit="false"/>
      <protection locked="false" hidden="false"/>
    </xf>
    <xf numFmtId="169" fontId="34" fillId="0" borderId="1" xfId="15" applyFont="true" applyBorder="true" applyAlignment="true" applyProtection="true">
      <alignment horizontal="right" vertical="center" textRotation="0" wrapText="false" indent="0" shrinkToFit="false"/>
      <protection locked="true" hidden="false"/>
    </xf>
    <xf numFmtId="165" fontId="34" fillId="0" borderId="15" xfId="0" applyFont="true" applyBorder="true" applyAlignment="true" applyProtection="true">
      <alignment horizontal="right" vertical="center" textRotation="0" wrapText="false" indent="0" shrinkToFit="false"/>
      <protection locked="true" hidden="false"/>
    </xf>
    <xf numFmtId="165" fontId="10" fillId="0" borderId="15" xfId="0" applyFont="true" applyBorder="true" applyAlignment="true" applyProtection="true">
      <alignment horizontal="right" vertical="center" textRotation="0" wrapText="false" indent="0" shrinkToFit="false"/>
      <protection locked="true" hidden="false"/>
    </xf>
    <xf numFmtId="177" fontId="10" fillId="0" borderId="15" xfId="15" applyFont="true" applyBorder="true" applyAlignment="true" applyProtection="true">
      <alignment horizontal="right" vertical="center" textRotation="0" wrapText="false" indent="0" shrinkToFit="false"/>
      <protection locked="true" hidden="false"/>
    </xf>
    <xf numFmtId="170" fontId="10" fillId="0" borderId="15" xfId="0" applyFont="true" applyBorder="true" applyAlignment="true" applyProtection="false">
      <alignment horizontal="left" vertical="center" textRotation="0" wrapText="false" indent="0" shrinkToFit="false"/>
      <protection locked="true" hidden="false"/>
    </xf>
    <xf numFmtId="165" fontId="10" fillId="0" borderId="1" xfId="0" applyFont="true" applyBorder="true" applyAlignment="true" applyProtection="true">
      <alignment horizontal="right" vertical="center" textRotation="0" wrapText="false" indent="0" shrinkToFit="false"/>
      <protection locked="true" hidden="false"/>
    </xf>
    <xf numFmtId="170" fontId="10" fillId="0" borderId="1" xfId="15" applyFont="true" applyBorder="true" applyAlignment="true" applyProtection="true">
      <alignment horizontal="left" vertical="center" textRotation="0" wrapText="false" indent="0" shrinkToFit="false"/>
      <protection locked="true" hidden="false"/>
    </xf>
    <xf numFmtId="170" fontId="10" fillId="0" borderId="1" xfId="0" applyFont="true" applyBorder="true" applyAlignment="true" applyProtection="false">
      <alignment horizontal="left" vertical="center" textRotation="0" wrapText="false" indent="0" shrinkToFit="false"/>
      <protection locked="true" hidden="false"/>
    </xf>
    <xf numFmtId="165" fontId="43" fillId="0" borderId="0" xfId="0" applyFont="true" applyBorder="true" applyAlignment="true" applyProtection="true">
      <alignment horizontal="general" vertical="center" textRotation="0" wrapText="false" indent="0" shrinkToFit="false"/>
      <protection locked="true" hidden="false"/>
    </xf>
    <xf numFmtId="165" fontId="10" fillId="0" borderId="0" xfId="0" applyFont="true" applyBorder="true" applyAlignment="true" applyProtection="true">
      <alignment horizontal="right" vertical="center" textRotation="0" wrapText="false" indent="0" shrinkToFit="false"/>
      <protection locked="true" hidden="false"/>
    </xf>
    <xf numFmtId="173" fontId="34" fillId="5" borderId="0" xfId="0" applyFont="true" applyBorder="true" applyAlignment="true" applyProtection="true">
      <alignment horizontal="left" vertical="center" textRotation="0" wrapText="false" indent="0" shrinkToFit="false"/>
      <protection locked="false" hidden="false"/>
    </xf>
    <xf numFmtId="165" fontId="32" fillId="0" borderId="0" xfId="0" applyFont="true" applyBorder="false" applyAlignment="false" applyProtection="true">
      <alignment horizontal="general" vertical="bottom" textRotation="0" wrapText="false" indent="0" shrinkToFit="false"/>
      <protection locked="true" hidden="false"/>
    </xf>
    <xf numFmtId="177" fontId="32" fillId="5" borderId="1" xfId="15" applyFont="true" applyBorder="true" applyAlignment="true" applyProtection="true">
      <alignment horizontal="right" vertical="center" textRotation="0" wrapText="false" indent="0" shrinkToFit="false"/>
      <protection locked="true" hidden="false"/>
    </xf>
    <xf numFmtId="170" fontId="32" fillId="0" borderId="1" xfId="0" applyFont="true" applyBorder="true" applyAlignment="true" applyProtection="true">
      <alignment horizontal="right" vertical="center" textRotation="0" wrapText="false" indent="0" shrinkToFit="false"/>
      <protection locked="true" hidden="false"/>
    </xf>
    <xf numFmtId="169" fontId="32" fillId="5" borderId="1" xfId="15" applyFont="true" applyBorder="true" applyAlignment="true" applyProtection="true">
      <alignment horizontal="right" vertical="center" textRotation="0" wrapText="false" indent="0" shrinkToFit="false"/>
      <protection locked="true" hidden="false"/>
    </xf>
    <xf numFmtId="165" fontId="32" fillId="4" borderId="7" xfId="0" applyFont="true" applyBorder="true" applyAlignment="true" applyProtection="true">
      <alignment horizontal="right" vertical="center" textRotation="0" wrapText="false" indent="0" shrinkToFit="false"/>
      <protection locked="true" hidden="false"/>
    </xf>
    <xf numFmtId="170" fontId="34" fillId="0" borderId="15" xfId="0" applyFont="true" applyBorder="true" applyAlignment="true" applyProtection="true">
      <alignment horizontal="right" vertical="center" textRotation="0" wrapText="false" indent="0" shrinkToFit="false"/>
      <protection locked="true" hidden="false"/>
    </xf>
    <xf numFmtId="170" fontId="34" fillId="0" borderId="1" xfId="0" applyFont="true" applyBorder="true" applyAlignment="true" applyProtection="true">
      <alignment horizontal="right" vertical="center" textRotation="0" wrapText="false" indent="0" shrinkToFit="false"/>
      <protection locked="true" hidden="false"/>
    </xf>
    <xf numFmtId="165" fontId="32" fillId="0" borderId="7" xfId="0" applyFont="true" applyBorder="true" applyAlignment="true" applyProtection="true">
      <alignment horizontal="right" vertical="center" textRotation="0" wrapText="false" indent="0" shrinkToFit="false"/>
      <protection locked="true" hidden="false"/>
    </xf>
    <xf numFmtId="177" fontId="32" fillId="5" borderId="1" xfId="0" applyFont="true" applyBorder="true" applyAlignment="true" applyProtection="true">
      <alignment horizontal="right" vertical="center" textRotation="0" wrapText="false" indent="0" shrinkToFit="false"/>
      <protection locked="true" hidden="false"/>
    </xf>
    <xf numFmtId="169" fontId="32" fillId="5" borderId="1" xfId="0" applyFont="true" applyBorder="true" applyAlignment="true" applyProtection="true">
      <alignment horizontal="right" vertical="center" textRotation="0" wrapText="false" indent="0" shrinkToFit="false"/>
      <protection locked="true" hidden="false"/>
    </xf>
    <xf numFmtId="169" fontId="34" fillId="5" borderId="1" xfId="15" applyFont="true" applyBorder="true" applyAlignment="true" applyProtection="true">
      <alignment horizontal="right" vertical="center" textRotation="0" wrapText="false" indent="0" shrinkToFit="false"/>
      <protection locked="true" hidden="false"/>
    </xf>
    <xf numFmtId="170" fontId="32" fillId="0" borderId="15" xfId="0" applyFont="true" applyBorder="true" applyAlignment="true" applyProtection="true">
      <alignment horizontal="right" vertical="center" textRotation="0" wrapText="false" indent="0" shrinkToFit="false"/>
      <protection locked="true" hidden="false"/>
    </xf>
    <xf numFmtId="170" fontId="10" fillId="0" borderId="15" xfId="0" applyFont="true" applyBorder="true" applyAlignment="true" applyProtection="true">
      <alignment horizontal="right" vertical="center" textRotation="0" wrapText="false" indent="0" shrinkToFit="false"/>
      <protection locked="true" hidden="false"/>
    </xf>
    <xf numFmtId="170" fontId="10" fillId="0" borderId="1" xfId="0" applyFont="true" applyBorder="true" applyAlignment="true" applyProtection="true">
      <alignment horizontal="right" vertical="center" textRotation="0" wrapText="false" indent="0" shrinkToFit="false"/>
      <protection locked="true" hidden="false"/>
    </xf>
    <xf numFmtId="165" fontId="10" fillId="0" borderId="0" xfId="0" applyFont="true" applyBorder="true" applyAlignment="true" applyProtection="false">
      <alignment horizontal="general" vertical="bottom" textRotation="0" wrapText="false" indent="0" shrinkToFit="false"/>
      <protection locked="true" hidden="false"/>
    </xf>
    <xf numFmtId="165" fontId="33" fillId="0" borderId="0" xfId="0" applyFont="true" applyBorder="true" applyAlignment="true" applyProtection="false">
      <alignment horizontal="general" vertical="bottom" textRotation="0" wrapText="false" indent="0" shrinkToFit="false"/>
      <protection locked="true" hidden="false"/>
    </xf>
    <xf numFmtId="165" fontId="32" fillId="0" borderId="0" xfId="0" applyFont="true" applyBorder="false" applyAlignment="true" applyProtection="false">
      <alignment horizontal="right" vertical="bottom" textRotation="0" wrapText="false" indent="0" shrinkToFit="false"/>
      <protection locked="true" hidden="false"/>
    </xf>
    <xf numFmtId="165" fontId="10" fillId="0" borderId="0" xfId="0" applyFont="true" applyBorder="true" applyAlignment="true" applyProtection="false">
      <alignment horizontal="left" vertical="center" textRotation="0" wrapText="false" indent="0" shrinkToFit="false"/>
      <protection locked="true" hidden="false"/>
    </xf>
    <xf numFmtId="165" fontId="34" fillId="0" borderId="0" xfId="0" applyFont="true" applyBorder="true" applyAlignment="true" applyProtection="false">
      <alignment horizontal="left" vertical="center" textRotation="0" wrapText="false" indent="0" shrinkToFit="false"/>
      <protection locked="true" hidden="false"/>
    </xf>
    <xf numFmtId="165" fontId="32" fillId="0" borderId="0" xfId="23" applyFont="true" applyBorder="false" applyAlignment="false" applyProtection="false">
      <alignment horizontal="general" vertical="bottom" textRotation="0" wrapText="false" indent="0" shrinkToFit="false"/>
      <protection locked="true" hidden="false"/>
    </xf>
    <xf numFmtId="165" fontId="10" fillId="0" borderId="3" xfId="23" applyFont="true" applyBorder="true" applyAlignment="false" applyProtection="false">
      <alignment horizontal="general" vertical="bottom" textRotation="0" wrapText="false" indent="0" shrinkToFit="false"/>
      <protection locked="true" hidden="false"/>
    </xf>
    <xf numFmtId="165" fontId="10" fillId="0" borderId="3" xfId="0" applyFont="true" applyBorder="true" applyAlignment="true" applyProtection="true">
      <alignment horizontal="center" vertical="bottom" textRotation="0" wrapText="false" indent="0" shrinkToFit="false"/>
      <protection locked="true" hidden="false"/>
    </xf>
    <xf numFmtId="165" fontId="32" fillId="4" borderId="1" xfId="23" applyFont="true" applyBorder="true" applyAlignment="false" applyProtection="false">
      <alignment horizontal="general" vertical="bottom" textRotation="0" wrapText="false" indent="0" shrinkToFit="false"/>
      <protection locked="true" hidden="false"/>
    </xf>
    <xf numFmtId="168" fontId="32" fillId="5" borderId="1" xfId="19" applyFont="true" applyBorder="true" applyAlignment="true" applyProtection="true">
      <alignment horizontal="general" vertical="bottom" textRotation="0" wrapText="false" indent="0" shrinkToFit="false"/>
      <protection locked="false" hidden="false"/>
    </xf>
    <xf numFmtId="168" fontId="32" fillId="0" borderId="1" xfId="19" applyFont="true" applyBorder="true" applyAlignment="true" applyProtection="true">
      <alignment horizontal="general" vertical="bottom" textRotation="0" wrapText="false" indent="0" shrinkToFit="false"/>
      <protection locked="true" hidden="false"/>
    </xf>
    <xf numFmtId="165" fontId="44" fillId="0" borderId="1" xfId="0" applyFont="true" applyBorder="true" applyAlignment="true" applyProtection="false">
      <alignment horizontal="right" vertical="bottom" textRotation="0" wrapText="false" indent="0" shrinkToFit="false"/>
      <protection locked="true" hidden="false"/>
    </xf>
    <xf numFmtId="168" fontId="44" fillId="0" borderId="1" xfId="0" applyFont="true" applyBorder="true" applyAlignment="false" applyProtection="false">
      <alignment horizontal="general" vertical="bottom" textRotation="0" wrapText="false" indent="0" shrinkToFit="false"/>
      <protection locked="true" hidden="false"/>
    </xf>
    <xf numFmtId="165" fontId="32" fillId="0" borderId="1" xfId="0" applyFont="true" applyBorder="true" applyAlignment="false" applyProtection="false">
      <alignment horizontal="general" vertical="bottom" textRotation="0" wrapText="false" indent="0" shrinkToFit="false"/>
      <protection locked="true" hidden="false"/>
    </xf>
    <xf numFmtId="168" fontId="44" fillId="0" borderId="1" xfId="0" applyFont="true" applyBorder="true" applyAlignment="false" applyProtection="false">
      <alignment horizontal="general" vertical="bottom" textRotation="0" wrapText="false" indent="0" shrinkToFit="false"/>
      <protection locked="true" hidden="false"/>
    </xf>
    <xf numFmtId="165" fontId="34" fillId="0" borderId="3" xfId="0" applyFont="true" applyBorder="true" applyAlignment="true" applyProtection="false">
      <alignment horizontal="left" vertical="bottom" textRotation="0" wrapText="false" indent="0" shrinkToFit="false"/>
      <protection locked="true" hidden="false"/>
    </xf>
    <xf numFmtId="165" fontId="32" fillId="5" borderId="3" xfId="0" applyFont="true" applyBorder="true" applyAlignment="false" applyProtection="true">
      <alignment horizontal="general" vertical="bottom" textRotation="0" wrapText="false" indent="0" shrinkToFit="false"/>
      <protection locked="false" hidden="false"/>
    </xf>
    <xf numFmtId="165" fontId="34" fillId="0" borderId="1" xfId="0" applyFont="true" applyBorder="true" applyAlignment="true" applyProtection="false">
      <alignment horizontal="left" vertical="bottom" textRotation="0" wrapText="false" indent="0" shrinkToFit="false"/>
      <protection locked="true" hidden="false"/>
    </xf>
    <xf numFmtId="173" fontId="32" fillId="5" borderId="1" xfId="0" applyFont="true" applyBorder="true" applyAlignment="false" applyProtection="true">
      <alignment horizontal="general" vertical="bottom" textRotation="0" wrapText="false" indent="0" shrinkToFit="false"/>
      <protection locked="false" hidden="false"/>
    </xf>
    <xf numFmtId="165" fontId="10" fillId="0" borderId="5" xfId="0" applyFont="true" applyBorder="true" applyAlignment="true" applyProtection="false">
      <alignment horizontal="center" vertical="center" textRotation="0" wrapText="false" indent="0" shrinkToFit="false"/>
      <protection locked="true" hidden="false"/>
    </xf>
    <xf numFmtId="165" fontId="47" fillId="0" borderId="4" xfId="0" applyFont="true" applyBorder="true" applyAlignment="true" applyProtection="false">
      <alignment horizontal="center" vertical="center" textRotation="0" wrapText="true" indent="0" shrinkToFit="false"/>
      <protection locked="true" hidden="false"/>
    </xf>
    <xf numFmtId="165" fontId="10" fillId="0" borderId="5" xfId="0" applyFont="true" applyBorder="true" applyAlignment="true" applyProtection="false">
      <alignment horizontal="center" vertical="center" textRotation="0" wrapText="true" indent="0" shrinkToFit="false"/>
      <protection locked="true" hidden="false"/>
    </xf>
    <xf numFmtId="169" fontId="34" fillId="5" borderId="6" xfId="15" applyFont="true" applyBorder="true" applyAlignment="true" applyProtection="true">
      <alignment horizontal="general" vertical="bottom" textRotation="0" wrapText="false" indent="0" shrinkToFit="false"/>
      <protection locked="false" hidden="false"/>
    </xf>
    <xf numFmtId="170" fontId="32" fillId="0" borderId="1" xfId="0" applyFont="true" applyBorder="true" applyAlignment="false" applyProtection="true">
      <alignment horizontal="general" vertical="bottom" textRotation="0" wrapText="false" indent="0" shrinkToFit="false"/>
      <protection locked="true" hidden="false"/>
    </xf>
    <xf numFmtId="169" fontId="34" fillId="5" borderId="1" xfId="15" applyFont="true" applyBorder="true" applyAlignment="true" applyProtection="true">
      <alignment horizontal="center" vertical="bottom" textRotation="0" wrapText="false" indent="0" shrinkToFit="false"/>
      <protection locked="false" hidden="false"/>
    </xf>
    <xf numFmtId="169" fontId="32" fillId="5" borderId="1" xfId="0" applyFont="true" applyBorder="true" applyAlignment="false" applyProtection="true">
      <alignment horizontal="general" vertical="bottom" textRotation="0" wrapText="false" indent="0" shrinkToFit="false"/>
      <protection locked="false" hidden="false"/>
    </xf>
    <xf numFmtId="170" fontId="34" fillId="0" borderId="6" xfId="0" applyFont="true" applyBorder="true" applyAlignment="false" applyProtection="false">
      <alignment horizontal="general" vertical="bottom" textRotation="0" wrapText="false" indent="0" shrinkToFit="false"/>
      <protection locked="true" hidden="false"/>
    </xf>
    <xf numFmtId="170" fontId="32" fillId="5" borderId="1" xfId="0" applyFont="true" applyBorder="true" applyAlignment="false" applyProtection="true">
      <alignment horizontal="general" vertical="bottom" textRotation="0" wrapText="false" indent="0" shrinkToFit="false"/>
      <protection locked="false" hidden="false"/>
    </xf>
    <xf numFmtId="169" fontId="34" fillId="5" borderId="17" xfId="15" applyFont="true" applyBorder="true" applyAlignment="true" applyProtection="true">
      <alignment horizontal="general" vertical="bottom" textRotation="0" wrapText="false" indent="0" shrinkToFit="false"/>
      <protection locked="false" hidden="false"/>
    </xf>
    <xf numFmtId="170" fontId="32" fillId="0" borderId="15" xfId="0" applyFont="true" applyBorder="true" applyAlignment="false" applyProtection="true">
      <alignment horizontal="general" vertical="bottom" textRotation="0" wrapText="false" indent="0" shrinkToFit="false"/>
      <protection locked="true" hidden="false"/>
    </xf>
    <xf numFmtId="169" fontId="34" fillId="5" borderId="15" xfId="15" applyFont="true" applyBorder="true" applyAlignment="true" applyProtection="true">
      <alignment horizontal="center" vertical="bottom" textRotation="0" wrapText="false" indent="0" shrinkToFit="false"/>
      <protection locked="false" hidden="false"/>
    </xf>
    <xf numFmtId="169" fontId="32" fillId="5" borderId="15" xfId="0" applyFont="true" applyBorder="true" applyAlignment="false" applyProtection="true">
      <alignment horizontal="general" vertical="bottom" textRotation="0" wrapText="false" indent="0" shrinkToFit="false"/>
      <protection locked="false" hidden="false"/>
    </xf>
    <xf numFmtId="165" fontId="34" fillId="0" borderId="6" xfId="0" applyFont="true" applyBorder="true" applyAlignment="false" applyProtection="false">
      <alignment horizontal="general" vertical="bottom" textRotation="0" wrapText="false" indent="0" shrinkToFit="false"/>
      <protection locked="true" hidden="false"/>
    </xf>
    <xf numFmtId="170" fontId="34" fillId="0" borderId="6" xfId="15" applyFont="true" applyBorder="true" applyAlignment="true" applyProtection="true">
      <alignment horizontal="general" vertical="bottom" textRotation="0" wrapText="false" indent="0" shrinkToFit="false"/>
      <protection locked="true" hidden="false"/>
    </xf>
    <xf numFmtId="165" fontId="48" fillId="0" borderId="0" xfId="0" applyFont="true" applyBorder="true" applyAlignment="false" applyProtection="false">
      <alignment horizontal="general" vertical="bottom" textRotation="0" wrapText="false" indent="0" shrinkToFit="false"/>
      <protection locked="true" hidden="false"/>
    </xf>
    <xf numFmtId="165" fontId="49" fillId="0" borderId="0" xfId="0" applyFont="true" applyBorder="true" applyAlignment="false" applyProtection="false">
      <alignment horizontal="general" vertical="bottom" textRotation="0" wrapText="false" indent="0" shrinkToFit="false"/>
      <protection locked="true" hidden="false"/>
    </xf>
    <xf numFmtId="166" fontId="49" fillId="0" borderId="0" xfId="15" applyFont="true" applyBorder="true" applyAlignment="true" applyProtection="true">
      <alignment horizontal="general" vertical="bottom" textRotation="0" wrapText="false" indent="0" shrinkToFit="false"/>
      <protection locked="true" hidden="false"/>
    </xf>
    <xf numFmtId="171" fontId="49" fillId="0" borderId="0" xfId="15" applyFont="true" applyBorder="true" applyAlignment="true" applyProtection="true">
      <alignment horizontal="general" vertical="bottom" textRotation="0" wrapText="false" indent="0" shrinkToFit="false"/>
      <protection locked="true" hidden="false"/>
    </xf>
    <xf numFmtId="178" fontId="34" fillId="5" borderId="3" xfId="19" applyFont="true" applyBorder="true" applyAlignment="true" applyProtection="true">
      <alignment horizontal="general" vertical="bottom" textRotation="0" wrapText="false" indent="0" shrinkToFit="false"/>
      <protection locked="false" hidden="false"/>
    </xf>
    <xf numFmtId="167" fontId="49" fillId="0" borderId="0" xfId="17" applyFont="true" applyBorder="true" applyAlignment="true" applyProtection="true">
      <alignment horizontal="general" vertical="bottom" textRotation="0" wrapText="false" indent="0" shrinkToFit="false"/>
      <protection locked="true" hidden="false"/>
    </xf>
    <xf numFmtId="165" fontId="32" fillId="0" borderId="3" xfId="0" applyFont="true" applyBorder="true" applyAlignment="false" applyProtection="false">
      <alignment horizontal="general" vertical="bottom" textRotation="0" wrapText="false" indent="0" shrinkToFit="false"/>
      <protection locked="true" hidden="false"/>
    </xf>
    <xf numFmtId="165" fontId="32" fillId="5" borderId="3" xfId="0" applyFont="true" applyBorder="true" applyAlignment="false" applyProtection="false">
      <alignment horizontal="general" vertical="bottom" textRotation="0" wrapText="false" indent="0" shrinkToFit="false"/>
      <protection locked="true" hidden="false"/>
    </xf>
    <xf numFmtId="165" fontId="50" fillId="0" borderId="0" xfId="0" applyFont="true" applyBorder="false" applyAlignment="false" applyProtection="false">
      <alignment horizontal="general" vertical="bottom" textRotation="0" wrapText="false" indent="0" shrinkToFit="false"/>
      <protection locked="true" hidden="false"/>
    </xf>
    <xf numFmtId="165" fontId="32" fillId="0" borderId="0" xfId="0" applyFont="true" applyBorder="true" applyAlignment="true" applyProtection="false">
      <alignment horizontal="general" vertical="center" textRotation="0" wrapText="false" indent="0" shrinkToFit="false"/>
      <protection locked="true" hidden="false"/>
    </xf>
    <xf numFmtId="165" fontId="32" fillId="0" borderId="0" xfId="0" applyFont="true" applyBorder="false" applyAlignment="true" applyProtection="false">
      <alignment horizontal="general" vertical="bottom" textRotation="0" wrapText="false" indent="0" shrinkToFit="false"/>
      <protection locked="true" hidden="false"/>
    </xf>
    <xf numFmtId="165" fontId="44" fillId="0" borderId="0" xfId="0" applyFont="true" applyBorder="true" applyAlignment="true" applyProtection="false">
      <alignment horizontal="general" vertical="center" textRotation="0" wrapText="false" indent="0" shrinkToFit="false"/>
      <protection locked="true" hidden="false"/>
    </xf>
    <xf numFmtId="165" fontId="44" fillId="0" borderId="0" xfId="0" applyFont="true" applyBorder="true" applyAlignment="true" applyProtection="false">
      <alignment horizontal="left" vertical="center" textRotation="0" wrapText="false" indent="0" shrinkToFit="false"/>
      <protection locked="true" hidden="false"/>
    </xf>
    <xf numFmtId="165" fontId="32" fillId="0" borderId="0" xfId="0" applyFont="true" applyBorder="false" applyAlignment="true" applyProtection="true">
      <alignment horizontal="right" vertical="bottom" textRotation="0" wrapText="false" indent="0" shrinkToFit="false"/>
      <protection locked="true" hidden="false"/>
    </xf>
    <xf numFmtId="165" fontId="10" fillId="0" borderId="1" xfId="0" applyFont="true" applyBorder="true" applyAlignment="true" applyProtection="false">
      <alignment horizontal="right" vertical="bottom" textRotation="0" wrapText="false" indent="0" shrinkToFit="false"/>
      <protection locked="true" hidden="false"/>
    </xf>
    <xf numFmtId="165" fontId="10" fillId="0" borderId="3" xfId="0" applyFont="true" applyBorder="true" applyAlignment="false" applyProtection="false">
      <alignment horizontal="general" vertical="bottom" textRotation="0" wrapText="false" indent="0" shrinkToFit="false"/>
      <protection locked="true" hidden="false"/>
    </xf>
    <xf numFmtId="169" fontId="39" fillId="0" borderId="3" xfId="19" applyFont="true" applyBorder="true" applyAlignment="true" applyProtection="true">
      <alignment horizontal="general" vertical="bottom" textRotation="0" wrapText="false" indent="0" shrinkToFit="false"/>
      <protection locked="false" hidden="false"/>
    </xf>
    <xf numFmtId="165" fontId="10" fillId="0" borderId="3" xfId="0" applyFont="true" applyBorder="true" applyAlignment="true" applyProtection="false">
      <alignment horizontal="center" vertical="center" textRotation="0" wrapText="false" indent="0" shrinkToFit="false"/>
      <protection locked="true" hidden="false"/>
    </xf>
    <xf numFmtId="165" fontId="32" fillId="0" borderId="1" xfId="0" applyFont="true" applyBorder="true" applyAlignment="true" applyProtection="true">
      <alignment horizontal="left" vertical="bottom" textRotation="0" wrapText="false" indent="6" shrinkToFit="false"/>
      <protection locked="false" hidden="false"/>
    </xf>
    <xf numFmtId="169" fontId="34" fillId="5" borderId="1" xfId="15" applyFont="true" applyBorder="true" applyAlignment="true" applyProtection="true">
      <alignment horizontal="general" vertical="bottom" textRotation="0" wrapText="false" indent="0" shrinkToFit="false"/>
      <protection locked="false" hidden="false"/>
    </xf>
    <xf numFmtId="170" fontId="34" fillId="0" borderId="1" xfId="0" applyFont="true" applyBorder="true" applyAlignment="false" applyProtection="true">
      <alignment horizontal="general" vertical="bottom" textRotation="0" wrapText="false" indent="0" shrinkToFit="false"/>
      <protection locked="true" hidden="false"/>
    </xf>
    <xf numFmtId="170" fontId="10" fillId="0" borderId="1" xfId="0" applyFont="true" applyBorder="true" applyAlignment="false" applyProtection="true">
      <alignment horizontal="general" vertical="bottom" textRotation="0" wrapText="false" indent="0" shrinkToFit="false"/>
      <protection locked="true" hidden="false"/>
    </xf>
    <xf numFmtId="165" fontId="44" fillId="0" borderId="1" xfId="0" applyFont="true" applyBorder="true" applyAlignment="false" applyProtection="false">
      <alignment horizontal="general" vertical="bottom" textRotation="0" wrapText="false" indent="0" shrinkToFit="false"/>
      <protection locked="true" hidden="false"/>
    </xf>
    <xf numFmtId="165" fontId="32" fillId="0" borderId="1" xfId="0" applyFont="true" applyBorder="true" applyAlignment="false" applyProtection="false">
      <alignment horizontal="general" vertical="bottom" textRotation="0" wrapText="false" indent="0" shrinkToFit="false"/>
      <protection locked="true" hidden="false"/>
    </xf>
    <xf numFmtId="165" fontId="32" fillId="0" borderId="1" xfId="0" applyFont="true" applyBorder="true" applyAlignment="true" applyProtection="false">
      <alignment horizontal="left" vertical="bottom" textRotation="0" wrapText="false" indent="6" shrinkToFit="false"/>
      <protection locked="true" hidden="false"/>
    </xf>
    <xf numFmtId="169" fontId="32" fillId="0" borderId="1" xfId="0" applyFont="true" applyBorder="true" applyAlignment="false" applyProtection="false">
      <alignment horizontal="general" vertical="bottom" textRotation="0" wrapText="false" indent="0" shrinkToFit="false"/>
      <protection locked="true" hidden="false"/>
    </xf>
    <xf numFmtId="165" fontId="32" fillId="0" borderId="1" xfId="0" applyFont="true" applyBorder="true" applyAlignment="true" applyProtection="false">
      <alignment horizontal="left" vertical="bottom" textRotation="0" wrapText="false" indent="11" shrinkToFit="false"/>
      <protection locked="true" hidden="false"/>
    </xf>
    <xf numFmtId="165" fontId="44" fillId="0" borderId="1" xfId="0" applyFont="true" applyBorder="true" applyAlignment="false" applyProtection="false">
      <alignment horizontal="general" vertical="bottom" textRotation="0" wrapText="false" indent="0" shrinkToFit="false"/>
      <protection locked="true" hidden="false"/>
    </xf>
    <xf numFmtId="170" fontId="32" fillId="0" borderId="1" xfId="0" applyFont="true" applyBorder="true" applyAlignment="false" applyProtection="false">
      <alignment horizontal="general" vertical="bottom" textRotation="0" wrapText="false" indent="0" shrinkToFit="false"/>
      <protection locked="true" hidden="false"/>
    </xf>
    <xf numFmtId="167" fontId="32" fillId="0" borderId="0" xfId="0" applyFont="true" applyBorder="false" applyAlignment="false" applyProtection="false">
      <alignment horizontal="general" vertical="bottom" textRotation="0" wrapText="false" indent="0" shrinkToFit="false"/>
      <protection locked="true" hidden="false"/>
    </xf>
    <xf numFmtId="165" fontId="51"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false" applyAlignment="true" applyProtection="false">
      <alignment horizontal="left" vertical="bottom" textRotation="0" wrapText="false" indent="0" shrinkToFit="false"/>
      <protection locked="true" hidden="false"/>
    </xf>
    <xf numFmtId="165" fontId="32" fillId="0" borderId="0" xfId="0" applyFont="true" applyBorder="false" applyAlignment="true" applyProtection="false">
      <alignment horizontal="center" vertical="bottom" textRotation="0" wrapText="false" indent="0" shrinkToFit="false"/>
      <protection locked="true" hidden="false"/>
    </xf>
    <xf numFmtId="165" fontId="32" fillId="0" borderId="3" xfId="0" applyFont="true" applyBorder="true" applyAlignment="true" applyProtection="true">
      <alignment horizontal="left" vertical="bottom" textRotation="0" wrapText="false" indent="6" shrinkToFit="false"/>
      <protection locked="true" hidden="false"/>
    </xf>
    <xf numFmtId="165" fontId="32" fillId="0" borderId="1" xfId="0" applyFont="true" applyBorder="true" applyAlignment="true" applyProtection="true">
      <alignment horizontal="left" vertical="bottom" textRotation="0" wrapText="false" indent="0" shrinkToFit="false"/>
      <protection locked="false" hidden="false"/>
    </xf>
    <xf numFmtId="169" fontId="32" fillId="0" borderId="1" xfId="0" applyFont="true" applyBorder="true" applyAlignment="false" applyProtection="false">
      <alignment horizontal="general" vertical="bottom" textRotation="0" wrapText="false" indent="0" shrinkToFit="false"/>
      <protection locked="true" hidden="false"/>
    </xf>
    <xf numFmtId="178" fontId="34" fillId="0" borderId="1" xfId="0" applyFont="true" applyBorder="true" applyAlignment="false" applyProtection="true">
      <alignment horizontal="general" vertical="bottom" textRotation="0" wrapText="false" indent="0" shrinkToFit="false"/>
      <protection locked="true" hidden="false"/>
    </xf>
    <xf numFmtId="166" fontId="32" fillId="0" borderId="1" xfId="0" applyFont="true" applyBorder="true" applyAlignment="false" applyProtection="false">
      <alignment horizontal="general" vertical="bottom" textRotation="0" wrapText="false" indent="0" shrinkToFit="false"/>
      <protection locked="true" hidden="false"/>
    </xf>
    <xf numFmtId="165" fontId="32" fillId="0" borderId="0" xfId="0" applyFont="true" applyBorder="true" applyAlignment="false" applyProtection="false">
      <alignment horizontal="general" vertical="bottom" textRotation="0" wrapText="false" indent="0" shrinkToFit="false"/>
      <protection locked="true" hidden="false"/>
    </xf>
    <xf numFmtId="169" fontId="34" fillId="0" borderId="3" xfId="15" applyFont="true" applyBorder="true" applyAlignment="true" applyProtection="true">
      <alignment horizontal="right" vertical="bottom" textRotation="0" wrapText="false" indent="0" shrinkToFit="false"/>
      <protection locked="true" hidden="false"/>
    </xf>
    <xf numFmtId="169" fontId="32" fillId="0" borderId="3" xfId="0" applyFont="true" applyBorder="true" applyAlignment="false" applyProtection="false">
      <alignment horizontal="general" vertical="bottom" textRotation="0" wrapText="false" indent="0" shrinkToFit="false"/>
      <protection locked="true" hidden="false"/>
    </xf>
    <xf numFmtId="165" fontId="32" fillId="0" borderId="1" xfId="0" applyFont="true" applyBorder="true" applyAlignment="true" applyProtection="false">
      <alignment horizontal="left" vertical="bottom" textRotation="0" wrapText="false" indent="0" shrinkToFit="false"/>
      <protection locked="true" hidden="false"/>
    </xf>
    <xf numFmtId="170" fontId="32" fillId="0" borderId="3" xfId="0" applyFont="true" applyBorder="true" applyAlignment="false" applyProtection="false">
      <alignment horizontal="general" vertical="bottom" textRotation="0" wrapText="false" indent="0" shrinkToFit="false"/>
      <protection locked="true" hidden="false"/>
    </xf>
    <xf numFmtId="170" fontId="34" fillId="0" borderId="3" xfId="15" applyFont="true" applyBorder="true" applyAlignment="true" applyProtection="true">
      <alignment horizontal="general" vertical="bottom" textRotation="0" wrapText="false" indent="0" shrinkToFit="false"/>
      <protection locked="true" hidden="false"/>
    </xf>
    <xf numFmtId="170" fontId="10" fillId="0" borderId="3" xfId="0" applyFont="true" applyBorder="true" applyAlignment="false" applyProtection="true">
      <alignment horizontal="general" vertical="bottom" textRotation="0" wrapText="false" indent="0" shrinkToFit="false"/>
      <protection locked="true" hidden="false"/>
    </xf>
    <xf numFmtId="165" fontId="10" fillId="0" borderId="0" xfId="0" applyFont="true" applyBorder="true" applyAlignment="true" applyProtection="false">
      <alignment horizontal="left" vertical="bottom" textRotation="0" wrapText="false" indent="0" shrinkToFit="false"/>
      <protection locked="true" hidden="false"/>
    </xf>
    <xf numFmtId="165" fontId="44" fillId="0" borderId="0" xfId="0" applyFont="true" applyBorder="false" applyAlignment="true" applyProtection="false">
      <alignment horizontal="general" vertical="bottom" textRotation="0" wrapText="false" indent="0" shrinkToFit="false"/>
      <protection locked="true" hidden="false"/>
    </xf>
    <xf numFmtId="165" fontId="44" fillId="0" borderId="0" xfId="0" applyFont="true" applyBorder="false" applyAlignment="false" applyProtection="false">
      <alignment horizontal="general" vertical="bottom" textRotation="0" wrapText="false" indent="0" shrinkToFit="false"/>
      <protection locked="true" hidden="false"/>
    </xf>
    <xf numFmtId="165" fontId="10" fillId="0" borderId="3" xfId="0" applyFont="true" applyBorder="true" applyAlignment="true" applyProtection="false">
      <alignment horizontal="left" vertical="bottom" textRotation="0" wrapText="false" indent="0" shrinkToFit="false"/>
      <protection locked="true" hidden="false"/>
    </xf>
    <xf numFmtId="171" fontId="34" fillId="0" borderId="3" xfId="15" applyFont="true" applyBorder="true" applyAlignment="true" applyProtection="true">
      <alignment horizontal="general" vertical="bottom" textRotation="0" wrapText="false" indent="0" shrinkToFit="false"/>
      <protection locked="true" hidden="false"/>
    </xf>
    <xf numFmtId="165" fontId="10" fillId="0" borderId="1" xfId="0" applyFont="true" applyBorder="true" applyAlignment="true" applyProtection="false">
      <alignment horizontal="left" vertical="bottom" textRotation="0" wrapText="false" indent="0" shrinkToFit="false"/>
      <protection locked="true" hidden="false"/>
    </xf>
    <xf numFmtId="171" fontId="34" fillId="0" borderId="1" xfId="15"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true" applyProtection="false">
      <alignment horizontal="left" vertical="bottom" textRotation="0" wrapText="false" indent="6" shrinkToFit="false"/>
      <protection locked="true" hidden="false"/>
    </xf>
    <xf numFmtId="165" fontId="34" fillId="0" borderId="1" xfId="0" applyFont="true" applyBorder="true" applyAlignment="true" applyProtection="false">
      <alignment horizontal="left" vertical="bottom" textRotation="0" wrapText="false" indent="11" shrinkToFit="false"/>
      <protection locked="true" hidden="false"/>
    </xf>
    <xf numFmtId="165" fontId="10" fillId="4" borderId="1" xfId="0" applyFont="true" applyBorder="true" applyAlignment="true" applyProtection="false">
      <alignment horizontal="left" vertical="bottom" textRotation="0" wrapText="false" indent="0" shrinkToFit="false"/>
      <protection locked="true" hidden="false"/>
    </xf>
    <xf numFmtId="170" fontId="34" fillId="4" borderId="1" xfId="15" applyFont="true" applyBorder="true" applyAlignment="true" applyProtection="true">
      <alignment horizontal="general" vertical="bottom" textRotation="0" wrapText="false" indent="0" shrinkToFit="false"/>
      <protection locked="true" hidden="false"/>
    </xf>
    <xf numFmtId="171" fontId="10" fillId="0" borderId="3" xfId="15" applyFont="true" applyBorder="true" applyAlignment="true" applyProtection="true">
      <alignment horizontal="general" vertical="bottom" textRotation="0" wrapText="false" indent="0" shrinkToFit="false"/>
      <protection locked="true" hidden="false"/>
    </xf>
    <xf numFmtId="171" fontId="10" fillId="0" borderId="1" xfId="15" applyFont="true" applyBorder="true" applyAlignment="true" applyProtection="true">
      <alignment horizontal="general" vertical="bottom" textRotation="0" wrapText="false" indent="0" shrinkToFit="false"/>
      <protection locked="true" hidden="false"/>
    </xf>
    <xf numFmtId="170" fontId="10" fillId="0" borderId="1" xfId="0" applyFont="true" applyBorder="true" applyAlignment="true" applyProtection="false">
      <alignment horizontal="left" vertical="bottom" textRotation="0" wrapText="false" indent="6" shrinkToFit="false"/>
      <protection locked="true" hidden="false"/>
    </xf>
    <xf numFmtId="165" fontId="34" fillId="0" borderId="1" xfId="0" applyFont="true" applyBorder="true" applyAlignment="true" applyProtection="false">
      <alignment horizontal="left" vertical="bottom" textRotation="0" wrapText="false" indent="9" shrinkToFit="false"/>
      <protection locked="true" hidden="false"/>
    </xf>
    <xf numFmtId="165" fontId="34" fillId="0" borderId="0" xfId="0" applyFont="true" applyBorder="false" applyAlignment="false" applyProtection="false">
      <alignment horizontal="general" vertical="bottom" textRotation="0" wrapText="false" indent="0" shrinkToFit="false"/>
      <protection locked="true" hidden="false"/>
    </xf>
    <xf numFmtId="165" fontId="52" fillId="0" borderId="0" xfId="0" applyFont="true" applyBorder="false" applyAlignment="false" applyProtection="false">
      <alignment horizontal="general" vertical="bottom" textRotation="0" wrapText="false" indent="0" shrinkToFit="false"/>
      <protection locked="true" hidden="false"/>
    </xf>
    <xf numFmtId="165" fontId="34" fillId="0" borderId="0" xfId="0" applyFont="true" applyBorder="false" applyAlignment="tru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5" fontId="34" fillId="0" borderId="0" xfId="0" applyFont="true" applyBorder="true" applyAlignment="true" applyProtection="false">
      <alignment horizontal="general" vertical="center" textRotation="0" wrapText="false" indent="0" shrinkToFit="false"/>
      <protection locked="true" hidden="false"/>
    </xf>
    <xf numFmtId="165" fontId="34" fillId="0" borderId="1" xfId="0" applyFont="true" applyBorder="true" applyAlignment="true" applyProtection="false">
      <alignment horizontal="left" vertical="center" textRotation="0" wrapText="false" indent="0" shrinkToFit="false"/>
      <protection locked="true" hidden="false"/>
    </xf>
    <xf numFmtId="169" fontId="34" fillId="0" borderId="1" xfId="0" applyFont="true" applyBorder="true" applyAlignment="false" applyProtection="false">
      <alignment horizontal="general" vertical="bottom" textRotation="0" wrapText="false" indent="0" shrinkToFit="false"/>
      <protection locked="true" hidden="false"/>
    </xf>
    <xf numFmtId="165" fontId="34" fillId="4" borderId="1" xfId="0" applyFont="true" applyBorder="true" applyAlignment="true" applyProtection="false">
      <alignment horizontal="left" vertical="center" textRotation="0" wrapText="false" indent="0" shrinkToFit="false"/>
      <protection locked="true" hidden="false"/>
    </xf>
    <xf numFmtId="165" fontId="34" fillId="0" borderId="1" xfId="0" applyFont="true" applyBorder="true" applyAlignment="true" applyProtection="false">
      <alignment horizontal="left" vertical="center" textRotation="0" wrapText="false" indent="0" shrinkToFit="false"/>
      <protection locked="true" hidden="false"/>
    </xf>
    <xf numFmtId="170" fontId="10" fillId="0" borderId="1" xfId="0" applyFont="true" applyBorder="true" applyAlignment="false" applyProtection="false">
      <alignment horizontal="general" vertical="bottom" textRotation="0" wrapText="false" indent="0" shrinkToFit="false"/>
      <protection locked="true" hidden="false"/>
    </xf>
    <xf numFmtId="170" fontId="10" fillId="4" borderId="1" xfId="0" applyFont="true" applyBorder="true" applyAlignment="true" applyProtection="false">
      <alignment horizontal="left" vertical="bottom" textRotation="0" wrapText="false" indent="0" shrinkToFit="false"/>
      <protection locked="true" hidden="false"/>
    </xf>
    <xf numFmtId="165" fontId="34" fillId="0" borderId="1" xfId="0" applyFont="true" applyBorder="true" applyAlignment="true" applyProtection="true">
      <alignment horizontal="left" vertical="bottom" textRotation="0" wrapText="false" indent="6" shrinkToFit="false"/>
      <protection locked="true" hidden="false"/>
    </xf>
    <xf numFmtId="165" fontId="34" fillId="0" borderId="1" xfId="0" applyFont="true" applyBorder="true" applyAlignment="true" applyProtection="true">
      <alignment horizontal="left" vertical="bottom" textRotation="0" wrapText="false" indent="6" shrinkToFit="false"/>
      <protection locked="false" hidden="false"/>
    </xf>
    <xf numFmtId="165" fontId="10" fillId="4" borderId="1" xfId="0" applyFont="true" applyBorder="true" applyAlignment="true" applyProtection="true">
      <alignment horizontal="left" vertical="bottom" textRotation="0" wrapText="false" indent="0" shrinkToFit="false"/>
      <protection locked="true" hidden="false"/>
    </xf>
    <xf numFmtId="165" fontId="10" fillId="0" borderId="1" xfId="0" applyFont="true" applyBorder="true" applyAlignment="true" applyProtection="true">
      <alignment horizontal="left" vertical="bottom" textRotation="0" wrapText="false" indent="0" shrinkToFit="false"/>
      <protection locked="true" hidden="false"/>
    </xf>
    <xf numFmtId="165" fontId="34" fillId="4" borderId="1" xfId="0" applyFont="true" applyBorder="true" applyAlignment="true" applyProtection="true">
      <alignment horizontal="left" vertical="bottom" textRotation="0" wrapText="false" indent="6" shrinkToFit="false"/>
      <protection locked="true" hidden="false"/>
    </xf>
    <xf numFmtId="165" fontId="34" fillId="0" borderId="1" xfId="0" applyFont="true" applyBorder="true" applyAlignment="false" applyProtection="false">
      <alignment horizontal="general" vertical="bottom" textRotation="0" wrapText="false" indent="0" shrinkToFit="false"/>
      <protection locked="true" hidden="false"/>
    </xf>
    <xf numFmtId="165" fontId="34" fillId="4" borderId="1" xfId="0" applyFont="true" applyBorder="true" applyAlignment="true" applyProtection="true">
      <alignment horizontal="left" vertical="bottom" textRotation="0" wrapText="false" indent="11" shrinkToFit="false"/>
      <protection locked="true" hidden="false"/>
    </xf>
    <xf numFmtId="165" fontId="39" fillId="0" borderId="0" xfId="0" applyFont="true" applyBorder="false" applyAlignment="false" applyProtection="false">
      <alignment horizontal="general" vertical="bottom" textRotation="0" wrapText="false" indent="0" shrinkToFit="false"/>
      <protection locked="true" hidden="false"/>
    </xf>
    <xf numFmtId="165" fontId="38" fillId="0" borderId="0" xfId="0" applyFont="true" applyBorder="true" applyAlignment="false" applyProtection="true">
      <alignment horizontal="general" vertical="bottom" textRotation="0" wrapText="false" indent="0" shrinkToFit="false"/>
      <protection locked="true" hidden="true"/>
    </xf>
    <xf numFmtId="165" fontId="39" fillId="0" borderId="0" xfId="0" applyFont="true" applyBorder="true" applyAlignment="false" applyProtection="true">
      <alignment horizontal="general" vertical="bottom" textRotation="0" wrapText="false" indent="0" shrinkToFit="false"/>
      <protection locked="true" hidden="true"/>
    </xf>
    <xf numFmtId="170" fontId="39" fillId="0" borderId="0" xfId="0" applyFont="true" applyBorder="true" applyAlignment="false" applyProtection="true">
      <alignment horizontal="general" vertical="bottom" textRotation="0" wrapText="false" indent="0" shrinkToFit="false"/>
      <protection locked="true" hidden="true"/>
    </xf>
    <xf numFmtId="168" fontId="32" fillId="0" borderId="0" xfId="0" applyFont="true" applyBorder="false" applyAlignment="true" applyProtection="false">
      <alignment horizontal="center" vertical="bottom" textRotation="0" wrapText="false" indent="0" shrinkToFit="false"/>
      <protection locked="true" hidden="false"/>
    </xf>
    <xf numFmtId="168" fontId="32" fillId="0" borderId="0" xfId="0" applyFont="true" applyBorder="false" applyAlignment="false" applyProtection="false">
      <alignment horizontal="general" vertical="bottom" textRotation="0" wrapText="false" indent="0" shrinkToFit="false"/>
      <protection locked="true" hidden="false"/>
    </xf>
    <xf numFmtId="168" fontId="32" fillId="0" borderId="0" xfId="0" applyFont="true" applyBorder="false" applyAlignment="true" applyProtection="false">
      <alignment horizontal="center" vertical="bottom" textRotation="0" wrapText="false" indent="0" shrinkToFit="false"/>
      <protection locked="true" hidden="false"/>
    </xf>
    <xf numFmtId="168" fontId="32" fillId="0" borderId="0" xfId="0" applyFont="true" applyBorder="false" applyAlignment="false" applyProtection="false">
      <alignment horizontal="general" vertical="bottom" textRotation="0" wrapText="false" indent="0" shrinkToFit="false"/>
      <protection locked="true" hidden="false"/>
    </xf>
    <xf numFmtId="168" fontId="33" fillId="0" borderId="0" xfId="0" applyFont="true" applyBorder="true" applyAlignment="true" applyProtection="false">
      <alignment horizontal="center" vertical="bottom" textRotation="0" wrapText="false" indent="0" shrinkToFit="false"/>
      <protection locked="true" hidden="false"/>
    </xf>
    <xf numFmtId="168" fontId="33" fillId="0" borderId="0" xfId="0" applyFont="true" applyBorder="true" applyAlignment="true" applyProtection="false">
      <alignment horizontal="general" vertical="bottom" textRotation="0" wrapText="false" indent="0" shrinkToFit="false"/>
      <protection locked="true" hidden="false"/>
    </xf>
    <xf numFmtId="165" fontId="53" fillId="0" borderId="0" xfId="20" applyFont="true" applyBorder="true" applyAlignment="true" applyProtection="true">
      <alignment horizontal="center" vertical="center" textRotation="0" wrapText="false" indent="0" shrinkToFit="false"/>
      <protection locked="true" hidden="false"/>
    </xf>
    <xf numFmtId="165" fontId="33" fillId="0" borderId="0" xfId="0" applyFont="true" applyBorder="true" applyAlignment="true" applyProtection="false">
      <alignment horizontal="left" vertical="bottom" textRotation="0" wrapText="false" indent="0" shrinkToFit="false"/>
      <protection locked="true" hidden="false"/>
    </xf>
    <xf numFmtId="168" fontId="10" fillId="0" borderId="0" xfId="0" applyFont="true" applyBorder="true" applyAlignment="true" applyProtection="false">
      <alignment horizontal="center" vertical="center" textRotation="0" wrapText="false" indent="0" shrinkToFit="false"/>
      <protection locked="true" hidden="false"/>
    </xf>
    <xf numFmtId="168" fontId="10" fillId="0" borderId="0" xfId="0" applyFont="true" applyBorder="true" applyAlignment="true" applyProtection="false">
      <alignment horizontal="general" vertical="center" textRotation="0" wrapText="false" indent="0" shrinkToFit="false"/>
      <protection locked="true" hidden="false"/>
    </xf>
    <xf numFmtId="168" fontId="34" fillId="0" borderId="0" xfId="0" applyFont="true" applyBorder="true" applyAlignment="true" applyProtection="false">
      <alignment horizontal="center" vertical="center" textRotation="0" wrapText="false" indent="0" shrinkToFit="false"/>
      <protection locked="true" hidden="false"/>
    </xf>
    <xf numFmtId="168" fontId="34" fillId="0" borderId="0" xfId="0" applyFont="true" applyBorder="true" applyAlignment="true" applyProtection="false">
      <alignment horizontal="general" vertical="center" textRotation="0" wrapText="false" indent="0" shrinkToFit="false"/>
      <protection locked="true" hidden="false"/>
    </xf>
    <xf numFmtId="165" fontId="34" fillId="0" borderId="5" xfId="0" applyFont="true" applyBorder="true" applyAlignment="true" applyProtection="false">
      <alignment horizontal="left" vertical="center" textRotation="0" wrapText="false" indent="0" shrinkToFit="false"/>
      <protection locked="true" hidden="false"/>
    </xf>
    <xf numFmtId="169" fontId="34" fillId="0" borderId="3" xfId="0" applyFont="true" applyBorder="true" applyAlignment="true" applyProtection="false">
      <alignment horizontal="right" vertical="bottom" textRotation="0" wrapText="false" indent="0" shrinkToFit="false"/>
      <protection locked="true" hidden="false"/>
    </xf>
    <xf numFmtId="168" fontId="34" fillId="0" borderId="3" xfId="0" applyFont="true" applyBorder="true" applyAlignment="true" applyProtection="false">
      <alignment horizontal="center" vertical="bottom" textRotation="0" wrapText="false" indent="0" shrinkToFit="false"/>
      <protection locked="true" hidden="false"/>
    </xf>
    <xf numFmtId="168" fontId="34" fillId="0" borderId="3" xfId="0" applyFont="true" applyBorder="true" applyAlignment="true" applyProtection="false">
      <alignment horizontal="right" vertical="bottom" textRotation="0" wrapText="false" indent="0" shrinkToFit="false"/>
      <protection locked="true" hidden="false"/>
    </xf>
    <xf numFmtId="165" fontId="34" fillId="0" borderId="6" xfId="0" applyFont="true" applyBorder="true" applyAlignment="true" applyProtection="false">
      <alignment horizontal="left" vertical="center" textRotation="0" wrapText="false" indent="0" shrinkToFit="false"/>
      <protection locked="true" hidden="false"/>
    </xf>
    <xf numFmtId="169" fontId="34" fillId="0" borderId="1" xfId="15" applyFont="true" applyBorder="true" applyAlignment="true" applyProtection="true">
      <alignment horizontal="right" vertical="bottom" textRotation="0" wrapText="false" indent="0" shrinkToFit="false"/>
      <protection locked="true" hidden="false"/>
    </xf>
    <xf numFmtId="168" fontId="34" fillId="0" borderId="1" xfId="15" applyFont="true" applyBorder="true" applyAlignment="true" applyProtection="true">
      <alignment horizontal="center" vertical="bottom" textRotation="0" wrapText="false" indent="0" shrinkToFit="false"/>
      <protection locked="true" hidden="false"/>
    </xf>
    <xf numFmtId="168" fontId="34" fillId="0" borderId="1" xfId="15" applyFont="true" applyBorder="true" applyAlignment="true" applyProtection="true">
      <alignment horizontal="right" vertical="bottom" textRotation="0" wrapText="false" indent="0" shrinkToFit="false"/>
      <protection locked="true" hidden="false"/>
    </xf>
    <xf numFmtId="168" fontId="34" fillId="0" borderId="1" xfId="0" applyFont="true" applyBorder="true" applyAlignment="true" applyProtection="false">
      <alignment horizontal="center" vertical="bottom" textRotation="0" wrapText="false" indent="0" shrinkToFit="false"/>
      <protection locked="true" hidden="false"/>
    </xf>
    <xf numFmtId="168" fontId="34" fillId="0" borderId="1" xfId="0" applyFont="true" applyBorder="true" applyAlignment="true" applyProtection="false">
      <alignment horizontal="right" vertical="bottom" textRotation="0" wrapText="false" indent="0" shrinkToFit="false"/>
      <protection locked="true" hidden="false"/>
    </xf>
    <xf numFmtId="165" fontId="10" fillId="0" borderId="6" xfId="0" applyFont="true" applyBorder="true" applyAlignment="true" applyProtection="false">
      <alignment horizontal="left" vertical="bottom" textRotation="0" wrapText="false" indent="0" shrinkToFit="false"/>
      <protection locked="true" hidden="false"/>
    </xf>
    <xf numFmtId="168" fontId="10" fillId="0" borderId="1" xfId="15" applyFont="true" applyBorder="true" applyAlignment="true" applyProtection="true">
      <alignment horizontal="center" vertical="bottom" textRotation="0" wrapText="false" indent="0" shrinkToFit="false"/>
      <protection locked="true" hidden="false"/>
    </xf>
    <xf numFmtId="168" fontId="10" fillId="0" borderId="1" xfId="15" applyFont="true" applyBorder="true" applyAlignment="true" applyProtection="true">
      <alignment horizontal="general" vertical="bottom" textRotation="0" wrapText="false" indent="0" shrinkToFit="false"/>
      <protection locked="true" hidden="false"/>
    </xf>
    <xf numFmtId="168" fontId="34" fillId="0" borderId="3" xfId="0" applyFont="true" applyBorder="true" applyAlignment="false" applyProtection="false">
      <alignment horizontal="general" vertical="bottom" textRotation="0" wrapText="false" indent="0" shrinkToFit="false"/>
      <protection locked="true" hidden="false"/>
    </xf>
    <xf numFmtId="168" fontId="34" fillId="0" borderId="1" xfId="0" applyFont="true" applyBorder="true" applyAlignment="false" applyProtection="false">
      <alignment horizontal="general" vertical="bottom" textRotation="0" wrapText="false" indent="0" shrinkToFit="false"/>
      <protection locked="true" hidden="false"/>
    </xf>
    <xf numFmtId="169" fontId="10" fillId="0" borderId="1" xfId="0" applyFont="true" applyBorder="true" applyAlignment="false" applyProtection="false">
      <alignment horizontal="general" vertical="bottom" textRotation="0" wrapText="false" indent="0" shrinkToFit="false"/>
      <protection locked="true" hidden="false"/>
    </xf>
    <xf numFmtId="168" fontId="10" fillId="0" borderId="1" xfId="0" applyFont="true" applyBorder="true" applyAlignment="true" applyProtection="false">
      <alignment horizontal="center" vertical="bottom" textRotation="0" wrapText="false" indent="0" shrinkToFit="false"/>
      <protection locked="true" hidden="false"/>
    </xf>
    <xf numFmtId="169" fontId="34" fillId="0" borderId="1" xfId="0" applyFont="true" applyBorder="true" applyAlignment="false" applyProtection="true">
      <alignment horizontal="general" vertical="bottom" textRotation="0" wrapText="false" indent="0" shrinkToFit="false"/>
      <protection locked="true" hidden="false"/>
    </xf>
    <xf numFmtId="168" fontId="34" fillId="0" borderId="1" xfId="0" applyFont="true" applyBorder="true" applyAlignment="false" applyProtection="true">
      <alignment horizontal="general" vertical="bottom" textRotation="0" wrapText="false" indent="0" shrinkToFit="false"/>
      <protection locked="true" hidden="false"/>
    </xf>
    <xf numFmtId="168" fontId="34" fillId="0" borderId="1" xfId="0" applyFont="true" applyBorder="true" applyAlignment="true" applyProtection="true">
      <alignment horizontal="center" vertical="bottom" textRotation="0" wrapText="false" indent="0" shrinkToFit="false"/>
      <protection locked="true" hidden="false"/>
    </xf>
    <xf numFmtId="165" fontId="34" fillId="0" borderId="3" xfId="0" applyFont="true" applyBorder="true" applyAlignment="true" applyProtection="true">
      <alignment horizontal="left" vertical="bottom" textRotation="0" wrapText="false" indent="0" shrinkToFit="false"/>
      <protection locked="true" hidden="false"/>
    </xf>
    <xf numFmtId="168" fontId="34" fillId="0" borderId="3" xfId="15" applyFont="true" applyBorder="true" applyAlignment="true" applyProtection="true">
      <alignment horizontal="center" vertical="bottom" textRotation="0" wrapText="false" indent="0" shrinkToFit="false"/>
      <protection locked="true" hidden="false"/>
    </xf>
    <xf numFmtId="168" fontId="34" fillId="0" borderId="3" xfId="15" applyFont="true" applyBorder="true" applyAlignment="true" applyProtection="true">
      <alignment horizontal="general" vertical="bottom" textRotation="0" wrapText="false" indent="0" shrinkToFit="false"/>
      <protection locked="true" hidden="false"/>
    </xf>
    <xf numFmtId="168" fontId="34" fillId="0" borderId="1" xfId="15"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true" applyProtection="true">
      <alignment horizontal="left" vertical="bottom" textRotation="0" wrapText="false" indent="0" shrinkToFit="false"/>
      <protection locked="false" hidden="false"/>
    </xf>
    <xf numFmtId="165" fontId="10" fillId="0" borderId="17" xfId="0" applyFont="true" applyBorder="true" applyAlignment="true" applyProtection="true">
      <alignment horizontal="left" vertical="bottom" textRotation="0" wrapText="false" indent="0" shrinkToFit="false"/>
      <protection locked="true" hidden="false"/>
    </xf>
    <xf numFmtId="170" fontId="10" fillId="0" borderId="15" xfId="0" applyFont="true" applyBorder="true" applyAlignment="false" applyProtection="true">
      <alignment horizontal="general" vertical="bottom" textRotation="0" wrapText="false" indent="0" shrinkToFit="false"/>
      <protection locked="true" hidden="false"/>
    </xf>
    <xf numFmtId="168" fontId="10" fillId="0" borderId="15" xfId="0" applyFont="true" applyBorder="true" applyAlignment="true" applyProtection="false">
      <alignment horizontal="center" vertical="bottom" textRotation="0" wrapText="false" indent="0" shrinkToFit="false"/>
      <protection locked="true" hidden="false"/>
    </xf>
    <xf numFmtId="170" fontId="10" fillId="4" borderId="1" xfId="0" applyFont="true" applyBorder="true" applyAlignment="false" applyProtection="true">
      <alignment horizontal="general" vertical="bottom" textRotation="0" wrapText="false" indent="0" shrinkToFit="false"/>
      <protection locked="true" hidden="false"/>
    </xf>
    <xf numFmtId="168" fontId="10" fillId="4" borderId="1" xfId="0" applyFont="true" applyBorder="true" applyAlignment="true" applyProtection="false">
      <alignment horizontal="center" vertical="bottom" textRotation="0" wrapText="false" indent="0" shrinkToFit="false"/>
      <protection locked="true" hidden="false"/>
    </xf>
    <xf numFmtId="165" fontId="35" fillId="0" borderId="18" xfId="0" applyFont="true" applyBorder="true" applyAlignment="true" applyProtection="true">
      <alignment horizontal="left" vertical="bottom" textRotation="0" wrapText="false" indent="0" shrinkToFit="false"/>
      <protection locked="true" hidden="false"/>
    </xf>
    <xf numFmtId="179" fontId="54" fillId="0" borderId="2" xfId="0" applyFont="true" applyBorder="true" applyAlignment="false" applyProtection="true">
      <alignment horizontal="general" vertical="bottom" textRotation="0" wrapText="false" indent="0" shrinkToFit="false"/>
      <protection locked="true" hidden="false"/>
    </xf>
    <xf numFmtId="168" fontId="54" fillId="0" borderId="2" xfId="0" applyFont="true" applyBorder="true" applyAlignment="true" applyProtection="true">
      <alignment horizontal="center" vertical="bottom" textRotation="0" wrapText="false" indent="0" shrinkToFit="false"/>
      <protection locked="true" hidden="false"/>
    </xf>
    <xf numFmtId="168" fontId="54" fillId="0" borderId="2" xfId="0" applyFont="true" applyBorder="true" applyAlignment="false" applyProtection="true">
      <alignment horizontal="general" vertical="bottom" textRotation="0" wrapText="false" indent="0" shrinkToFit="false"/>
      <protection locked="true" hidden="false"/>
    </xf>
    <xf numFmtId="165" fontId="34" fillId="0" borderId="3" xfId="0" applyFont="true" applyBorder="true" applyAlignment="true" applyProtection="true">
      <alignment horizontal="left" vertical="bottom" textRotation="0" wrapText="false" indent="6" shrinkToFit="false"/>
      <protection locked="true" hidden="false"/>
    </xf>
    <xf numFmtId="169" fontId="34" fillId="0" borderId="3" xfId="0" applyFont="true" applyBorder="true" applyAlignment="false" applyProtection="true">
      <alignment horizontal="general" vertical="bottom" textRotation="0" wrapText="false" indent="0" shrinkToFit="false"/>
      <protection locked="true" hidden="false"/>
    </xf>
    <xf numFmtId="168" fontId="34" fillId="0" borderId="3" xfId="0" applyFont="true" applyBorder="true" applyAlignment="true" applyProtection="true">
      <alignment horizontal="center" vertical="bottom" textRotation="0" wrapText="false" indent="0" shrinkToFit="false"/>
      <protection locked="true" hidden="false"/>
    </xf>
    <xf numFmtId="168" fontId="34" fillId="0" borderId="3" xfId="0" applyFont="true" applyBorder="true" applyAlignment="false" applyProtection="true">
      <alignment horizontal="general" vertical="bottom" textRotation="0" wrapText="false" indent="0" shrinkToFit="false"/>
      <protection locked="true" hidden="false"/>
    </xf>
    <xf numFmtId="165" fontId="34" fillId="0" borderId="6" xfId="0" applyFont="true" applyBorder="true" applyAlignment="true" applyProtection="true">
      <alignment horizontal="left" vertical="bottom" textRotation="0" wrapText="false" indent="6" shrinkToFit="false"/>
      <protection locked="true" hidden="false"/>
    </xf>
    <xf numFmtId="179" fontId="34" fillId="0" borderId="1" xfId="0" applyFont="true" applyBorder="true" applyAlignment="false" applyProtection="true">
      <alignment horizontal="general" vertical="bottom" textRotation="0" wrapText="false" indent="0" shrinkToFit="false"/>
      <protection locked="true" hidden="false"/>
    </xf>
    <xf numFmtId="165" fontId="34" fillId="0" borderId="6" xfId="0" applyFont="true" applyBorder="true" applyAlignment="true" applyProtection="true">
      <alignment horizontal="left" vertical="bottom" textRotation="0" wrapText="false" indent="11" shrinkToFit="false"/>
      <protection locked="true" hidden="false"/>
    </xf>
    <xf numFmtId="165" fontId="34" fillId="0" borderId="1" xfId="0" applyFont="true" applyBorder="true" applyAlignment="true" applyProtection="true">
      <alignment horizontal="left" vertical="bottom" textRotation="0" wrapText="false" indent="11" shrinkToFit="false"/>
      <protection locked="true" hidden="false"/>
    </xf>
    <xf numFmtId="165" fontId="10" fillId="0" borderId="6" xfId="0" applyFont="true" applyBorder="true" applyAlignment="true" applyProtection="true">
      <alignment horizontal="left" vertical="bottom" textRotation="0" wrapText="false" indent="0" shrinkToFit="false"/>
      <protection locked="true" hidden="false"/>
    </xf>
    <xf numFmtId="165" fontId="39" fillId="0" borderId="0" xfId="0" applyFont="true" applyBorder="false" applyAlignment="false" applyProtection="false">
      <alignment horizontal="general" vertical="bottom" textRotation="0" wrapText="false" indent="0" shrinkToFit="false"/>
      <protection locked="true" hidden="false"/>
    </xf>
    <xf numFmtId="168" fontId="39" fillId="0" borderId="0" xfId="0" applyFont="true" applyBorder="false" applyAlignment="true" applyProtection="false">
      <alignment horizontal="center" vertical="bottom" textRotation="0" wrapText="false" indent="0" shrinkToFit="false"/>
      <protection locked="true" hidden="false"/>
    </xf>
    <xf numFmtId="168" fontId="39" fillId="0" borderId="0" xfId="0" applyFont="true" applyBorder="false" applyAlignment="false" applyProtection="false">
      <alignment horizontal="general" vertical="bottom" textRotation="0" wrapText="false" indent="0" shrinkToFit="false"/>
      <protection locked="true" hidden="false"/>
    </xf>
    <xf numFmtId="165" fontId="38" fillId="0" borderId="0" xfId="0" applyFont="true" applyBorder="false" applyAlignment="true" applyProtection="true">
      <alignment horizontal="center" vertical="bottom" textRotation="0" wrapText="false" indent="0" shrinkToFit="false"/>
      <protection locked="true" hidden="true"/>
    </xf>
    <xf numFmtId="168" fontId="38" fillId="0" borderId="0" xfId="0" applyFont="true" applyBorder="false" applyAlignment="true" applyProtection="true">
      <alignment horizontal="center" vertical="bottom" textRotation="0" wrapText="false" indent="0" shrinkToFit="false"/>
      <protection locked="true" hidden="true"/>
    </xf>
    <xf numFmtId="165" fontId="39" fillId="0" borderId="0" xfId="0" applyFont="true" applyBorder="false" applyAlignment="false" applyProtection="true">
      <alignment horizontal="general" vertical="bottom" textRotation="0" wrapText="false" indent="0" shrinkToFit="false"/>
      <protection locked="true" hidden="true"/>
    </xf>
    <xf numFmtId="170" fontId="39" fillId="0" borderId="0" xfId="0" applyFont="true" applyBorder="false" applyAlignment="false" applyProtection="true">
      <alignment horizontal="general" vertical="bottom" textRotation="0" wrapText="false" indent="0" shrinkToFit="false"/>
      <protection locked="true" hidden="true"/>
    </xf>
    <xf numFmtId="170" fontId="39" fillId="0" borderId="0" xfId="0" applyFont="true" applyBorder="false" applyAlignment="true" applyProtection="true">
      <alignment horizontal="center" vertical="bottom" textRotation="0" wrapText="false" indent="0" shrinkToFit="false"/>
      <protection locked="true" hidden="true"/>
    </xf>
    <xf numFmtId="179" fontId="34" fillId="0" borderId="3" xfId="15" applyFont="true" applyBorder="true" applyAlignment="true" applyProtection="true">
      <alignment horizontal="general" vertical="bottom" textRotation="0" wrapText="false" indent="0" shrinkToFit="false"/>
      <protection locked="true" hidden="false"/>
    </xf>
    <xf numFmtId="172" fontId="34" fillId="0" borderId="1" xfId="15"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true" applyProtection="false">
      <alignment horizontal="left" vertical="center" textRotation="0" wrapText="false" indent="6" shrinkToFit="false"/>
      <protection locked="true" hidden="false"/>
    </xf>
    <xf numFmtId="165" fontId="10" fillId="0" borderId="1" xfId="0" applyFont="true" applyBorder="true" applyAlignment="true" applyProtection="false">
      <alignment horizontal="right" vertical="center" textRotation="0" wrapText="false" indent="0" shrinkToFit="false"/>
      <protection locked="true" hidden="false"/>
    </xf>
    <xf numFmtId="165" fontId="10" fillId="0" borderId="1" xfId="0" applyFont="true" applyBorder="true" applyAlignment="true" applyProtection="false">
      <alignment horizontal="left" vertical="center" textRotation="0" wrapText="false" indent="0" shrinkToFit="false"/>
      <protection locked="true" hidden="false"/>
    </xf>
    <xf numFmtId="165" fontId="34" fillId="0" borderId="3" xfId="0" applyFont="true" applyBorder="true" applyAlignment="true" applyProtection="false">
      <alignment horizontal="left" vertical="center" textRotation="0" wrapText="false" indent="0" shrinkToFit="false"/>
      <protection locked="true" hidden="false"/>
    </xf>
    <xf numFmtId="172" fontId="34" fillId="0" borderId="3" xfId="15" applyFont="true" applyBorder="true" applyAlignment="true" applyProtection="true">
      <alignment horizontal="general" vertical="bottom" textRotation="0" wrapText="false" indent="0" shrinkToFit="false"/>
      <protection locked="true" hidden="false"/>
    </xf>
    <xf numFmtId="165" fontId="55" fillId="0" borderId="0" xfId="0" applyFont="true" applyBorder="false" applyAlignment="false" applyProtection="false">
      <alignment horizontal="general" vertical="bottom" textRotation="0" wrapText="false" indent="0" shrinkToFit="false"/>
      <protection locked="true" hidden="false"/>
    </xf>
    <xf numFmtId="170" fontId="10" fillId="0" borderId="1" xfId="17" applyFont="true" applyBorder="true" applyAlignment="true" applyProtection="true">
      <alignment horizontal="general" vertical="bottom" textRotation="0" wrapText="false" indent="0" shrinkToFit="false"/>
      <protection locked="true" hidden="false"/>
    </xf>
    <xf numFmtId="180" fontId="34" fillId="0" borderId="1" xfId="0" applyFont="true" applyBorder="true" applyAlignment="false" applyProtection="false">
      <alignment horizontal="general" vertical="bottom"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7" fontId="34" fillId="0" borderId="0" xfId="17" applyFont="true" applyBorder="false" applyAlignment="false" applyProtection="false">
      <alignment horizontal="general" vertical="bottom" textRotation="0" wrapText="false" indent="0" shrinkToFit="false"/>
      <protection locked="true" hidden="false"/>
    </xf>
    <xf numFmtId="165" fontId="42" fillId="0" borderId="0" xfId="20" applyFont="true" applyBorder="true" applyAlignment="true" applyProtection="true">
      <alignment horizontal="center" vertical="center" textRotation="0" wrapText="true" indent="0" shrinkToFit="false"/>
      <protection locked="true" hidden="false"/>
    </xf>
    <xf numFmtId="165" fontId="33" fillId="0" borderId="0" xfId="0" applyFont="true" applyBorder="true" applyAlignment="true" applyProtection="false">
      <alignment horizontal="left" vertical="center" textRotation="0" wrapText="false" indent="0" shrinkToFit="false"/>
      <protection locked="true" hidden="false"/>
    </xf>
    <xf numFmtId="165" fontId="34" fillId="0" borderId="0" xfId="0" applyFont="true" applyBorder="true" applyAlignment="false" applyProtection="false">
      <alignment horizontal="general" vertical="bottom" textRotation="0" wrapText="false" indent="0" shrinkToFit="false"/>
      <protection locked="true" hidden="false"/>
    </xf>
    <xf numFmtId="167" fontId="10" fillId="0" borderId="0" xfId="17" applyFont="true" applyBorder="true" applyAlignment="true" applyProtection="true">
      <alignment horizontal="right" vertical="center" textRotation="0" wrapText="false" indent="0" shrinkToFit="false"/>
      <protection locked="true" hidden="false"/>
    </xf>
    <xf numFmtId="181" fontId="39" fillId="0" borderId="0" xfId="15" applyFont="true" applyBorder="true" applyAlignment="true" applyProtection="true">
      <alignment horizontal="left" vertical="center" textRotation="0" wrapText="false" indent="0" shrinkToFit="false"/>
      <protection locked="true" hidden="false"/>
    </xf>
    <xf numFmtId="165" fontId="34" fillId="0" borderId="3" xfId="0" applyFont="true" applyBorder="true" applyAlignment="true" applyProtection="false">
      <alignment horizontal="left" vertical="bottom" textRotation="0" wrapText="false" indent="6" shrinkToFit="false"/>
      <protection locked="true" hidden="false"/>
    </xf>
    <xf numFmtId="170" fontId="34" fillId="0" borderId="3" xfId="0" applyFont="true" applyBorder="true" applyAlignment="true" applyProtection="false">
      <alignment horizontal="right" vertical="bottom" textRotation="0" wrapText="false" indent="0" shrinkToFit="false"/>
      <protection locked="true" hidden="false"/>
    </xf>
    <xf numFmtId="178" fontId="10" fillId="0" borderId="1" xfId="0" applyFont="true" applyBorder="true" applyAlignment="true" applyProtection="false">
      <alignment horizontal="right" vertical="bottom" textRotation="0" wrapText="false" indent="0" shrinkToFit="false"/>
      <protection locked="true" hidden="false"/>
    </xf>
    <xf numFmtId="167" fontId="38" fillId="0" borderId="0" xfId="17" applyFont="true" applyBorder="true" applyAlignment="true" applyProtection="true">
      <alignment horizontal="center" vertical="bottom" textRotation="0" wrapText="false" indent="0" shrinkToFit="false"/>
      <protection locked="true" hidden="false"/>
    </xf>
    <xf numFmtId="165" fontId="34" fillId="0" borderId="0" xfId="0" applyFont="true" applyBorder="false" applyAlignment="true" applyProtection="false">
      <alignment horizontal="general" vertical="center" textRotation="0" wrapText="false" indent="0" shrinkToFit="false"/>
      <protection locked="true" hidden="false"/>
    </xf>
    <xf numFmtId="167" fontId="34" fillId="0" borderId="3" xfId="0" applyFont="true" applyBorder="true" applyAlignment="true" applyProtection="false">
      <alignment horizontal="left" vertical="center" textRotation="0" wrapText="true" indent="0" shrinkToFit="false"/>
      <protection locked="true" hidden="false"/>
    </xf>
    <xf numFmtId="167" fontId="34" fillId="0" borderId="1" xfId="0" applyFont="true" applyBorder="true" applyAlignment="true" applyProtection="false">
      <alignment horizontal="left" vertical="center" textRotation="0" wrapText="true" indent="0" shrinkToFit="false"/>
      <protection locked="true" hidden="false"/>
    </xf>
    <xf numFmtId="170" fontId="10" fillId="0" borderId="1" xfId="0" applyFont="true" applyBorder="true" applyAlignment="true" applyProtection="false">
      <alignment horizontal="right" vertical="center" textRotation="0" wrapText="true" indent="0" shrinkToFit="false"/>
      <protection locked="true" hidden="false"/>
    </xf>
    <xf numFmtId="178" fontId="34" fillId="0" borderId="3" xfId="0" applyFont="true" applyBorder="true" applyAlignment="true" applyProtection="false">
      <alignment horizontal="right" vertical="center" textRotation="0" wrapText="true" indent="0" shrinkToFit="false"/>
      <protection locked="true" hidden="false"/>
    </xf>
    <xf numFmtId="170" fontId="34" fillId="0" borderId="1" xfId="0" applyFont="true" applyBorder="true" applyAlignment="true" applyProtection="false">
      <alignment horizontal="left" vertical="center" textRotation="0" wrapText="true" indent="0" shrinkToFit="false"/>
      <protection locked="true" hidden="false"/>
    </xf>
    <xf numFmtId="165" fontId="10" fillId="0" borderId="1" xfId="0" applyFont="true" applyBorder="true" applyAlignment="true" applyProtection="false">
      <alignment horizontal="general" vertical="center" textRotation="0" wrapText="true" indent="0" shrinkToFit="false"/>
      <protection locked="true" hidden="false"/>
    </xf>
    <xf numFmtId="170" fontId="10" fillId="0" borderId="1" xfId="0" applyFont="true" applyBorder="true" applyAlignment="true" applyProtection="false">
      <alignment horizontal="general" vertical="center" textRotation="0" wrapText="false" indent="0" shrinkToFit="false"/>
      <protection locked="true" hidden="false"/>
    </xf>
    <xf numFmtId="170" fontId="34" fillId="0" borderId="0" xfId="17" applyFont="true" applyBorder="true" applyAlignment="true" applyProtection="true">
      <alignment horizontal="general" vertical="center" textRotation="0" wrapText="false" indent="0" shrinkToFit="false"/>
      <protection locked="true" hidden="false"/>
    </xf>
    <xf numFmtId="165" fontId="33" fillId="0" borderId="0" xfId="0" applyFont="true" applyBorder="true" applyAlignment="true" applyProtection="false">
      <alignment horizontal="center" vertical="bottom" textRotation="0" wrapText="false" indent="0" shrinkToFit="false"/>
      <protection locked="true" hidden="false"/>
    </xf>
    <xf numFmtId="165" fontId="10" fillId="0" borderId="0" xfId="0" applyFont="true" applyBorder="false" applyAlignment="true" applyProtection="false">
      <alignment horizontal="left" vertical="center" textRotation="0" wrapText="false" indent="0" shrinkToFit="false"/>
      <protection locked="true" hidden="false"/>
    </xf>
    <xf numFmtId="165" fontId="34" fillId="0" borderId="0" xfId="0" applyFont="true" applyBorder="false" applyAlignment="true" applyProtection="false">
      <alignment horizontal="left" vertical="center" textRotation="0" wrapText="false" indent="0" shrinkToFit="false"/>
      <protection locked="true" hidden="false"/>
    </xf>
    <xf numFmtId="165" fontId="34" fillId="0" borderId="3" xfId="0" applyFont="true" applyBorder="true" applyAlignment="true" applyProtection="false">
      <alignment horizontal="left" vertical="bottom" textRotation="0" wrapText="false" indent="4" shrinkToFit="false"/>
      <protection locked="true" hidden="false"/>
    </xf>
    <xf numFmtId="172" fontId="34" fillId="0" borderId="3" xfId="17" applyFont="true" applyBorder="true" applyAlignment="true" applyProtection="true">
      <alignment horizontal="general" vertical="bottom" textRotation="0" wrapText="false" indent="0" shrinkToFit="false"/>
      <protection locked="true" hidden="false"/>
    </xf>
    <xf numFmtId="173" fontId="34" fillId="0" borderId="3" xfId="19" applyFont="true" applyBorder="true" applyAlignment="true" applyProtection="true">
      <alignment horizontal="general" vertical="bottom" textRotation="0" wrapText="false" indent="0" shrinkToFit="false"/>
      <protection locked="true" hidden="false"/>
    </xf>
    <xf numFmtId="165" fontId="34" fillId="0" borderId="1" xfId="0" applyFont="true" applyBorder="true" applyAlignment="true" applyProtection="false">
      <alignment horizontal="left" vertical="bottom" textRotation="0" wrapText="false" indent="7" shrinkToFit="false"/>
      <protection locked="true" hidden="false"/>
    </xf>
    <xf numFmtId="182" fontId="34" fillId="0" borderId="1" xfId="15" applyFont="true" applyBorder="true" applyAlignment="true" applyProtection="true">
      <alignment horizontal="general" vertical="bottom" textRotation="0" wrapText="false" indent="0" shrinkToFit="false"/>
      <protection locked="true" hidden="false"/>
    </xf>
    <xf numFmtId="182" fontId="34" fillId="0" borderId="1" xfId="0" applyFont="true" applyBorder="true" applyAlignment="false" applyProtection="false">
      <alignment horizontal="general" vertical="bottom" textRotation="0" wrapText="false" indent="0" shrinkToFit="false"/>
      <protection locked="true" hidden="false"/>
    </xf>
    <xf numFmtId="165" fontId="34" fillId="0" borderId="1" xfId="0" applyFont="true" applyBorder="true" applyAlignment="true" applyProtection="false">
      <alignment horizontal="left" vertical="bottom" textRotation="0" wrapText="false" indent="4" shrinkToFit="false"/>
      <protection locked="true" hidden="false"/>
    </xf>
    <xf numFmtId="166" fontId="34" fillId="0" borderId="1" xfId="15" applyFont="true" applyBorder="true" applyAlignment="true" applyProtection="true">
      <alignment horizontal="general" vertical="bottom" textRotation="0" wrapText="false" indent="0" shrinkToFit="false"/>
      <protection locked="true" hidden="false"/>
    </xf>
    <xf numFmtId="178" fontId="34" fillId="0" borderId="1" xfId="15" applyFont="true" applyBorder="true" applyAlignment="true" applyProtection="true">
      <alignment horizontal="general" vertical="bottom" textRotation="0" wrapText="false" indent="0" shrinkToFit="false"/>
      <protection locked="true" hidden="false"/>
    </xf>
    <xf numFmtId="178" fontId="34" fillId="0" borderId="1" xfId="0" applyFont="true" applyBorder="true" applyAlignment="false" applyProtection="false">
      <alignment horizontal="general" vertical="bottom" textRotation="0" wrapText="false" indent="0" shrinkToFit="false"/>
      <protection locked="true" hidden="false"/>
    </xf>
    <xf numFmtId="165" fontId="10" fillId="0" borderId="0" xfId="0" applyFont="true" applyBorder="true" applyAlignment="true" applyProtection="false">
      <alignment horizontal="right" vertical="bottom" textRotation="0" wrapText="false" indent="0" shrinkToFit="false"/>
      <protection locked="true" hidden="false"/>
    </xf>
    <xf numFmtId="178" fontId="10" fillId="0" borderId="3" xfId="19" applyFont="true" applyBorder="true" applyAlignment="true" applyProtection="true">
      <alignment horizontal="general" vertical="bottom" textRotation="0" wrapText="false" indent="0" shrinkToFit="false"/>
      <protection locked="true" hidden="false"/>
    </xf>
    <xf numFmtId="165" fontId="34" fillId="0" borderId="3" xfId="19" applyFont="true" applyBorder="true" applyAlignment="true" applyProtection="true">
      <alignment horizontal="general" vertical="bottom" textRotation="0" wrapText="false" indent="0" shrinkToFit="false"/>
      <protection locked="true" hidden="false"/>
    </xf>
    <xf numFmtId="173" fontId="34" fillId="0" borderId="0" xfId="19" applyFont="true" applyBorder="true" applyAlignment="true" applyProtection="true">
      <alignment horizontal="general" vertical="bottom" textRotation="0" wrapText="false" indent="0" shrinkToFit="false"/>
      <protection locked="true" hidden="false"/>
    </xf>
    <xf numFmtId="178" fontId="10" fillId="0" borderId="1" xfId="19" applyFont="true" applyBorder="true" applyAlignment="true" applyProtection="true">
      <alignment horizontal="general" vertical="bottom" textRotation="0" wrapText="false" indent="0" shrinkToFit="false"/>
      <protection locked="true" hidden="false"/>
    </xf>
    <xf numFmtId="165" fontId="34" fillId="0" borderId="1" xfId="19" applyFont="true" applyBorder="true" applyAlignment="true" applyProtection="true">
      <alignment horizontal="general" vertical="bottom" textRotation="0" wrapText="false" indent="0" shrinkToFit="false"/>
      <protection locked="true" hidden="false"/>
    </xf>
    <xf numFmtId="178" fontId="10" fillId="0" borderId="1" xfId="15" applyFont="true" applyBorder="true" applyAlignment="true" applyProtection="true">
      <alignment horizontal="general" vertical="bottom" textRotation="0" wrapText="false" indent="0" shrinkToFit="false"/>
      <protection locked="true" hidden="false"/>
    </xf>
    <xf numFmtId="165" fontId="34" fillId="0" borderId="3" xfId="0" applyFont="true" applyBorder="true" applyAlignment="false" applyProtection="false">
      <alignment horizontal="general" vertical="bottom" textRotation="0" wrapText="false" indent="0" shrinkToFit="false"/>
      <protection locked="true" hidden="false"/>
    </xf>
    <xf numFmtId="171" fontId="10" fillId="0" borderId="1" xfId="0" applyFont="true" applyBorder="true" applyAlignment="false" applyProtection="false">
      <alignment horizontal="general" vertical="bottom" textRotation="0" wrapText="false" indent="0" shrinkToFit="false"/>
      <protection locked="true" hidden="false"/>
    </xf>
    <xf numFmtId="165" fontId="34" fillId="0" borderId="1" xfId="0" applyFont="true" applyBorder="true" applyAlignment="false" applyProtection="false">
      <alignment horizontal="general" vertical="bottom" textRotation="0" wrapText="false" indent="0" shrinkToFit="false"/>
      <protection locked="true" hidden="false"/>
    </xf>
    <xf numFmtId="171" fontId="34" fillId="0" borderId="0" xfId="15" applyFont="true" applyBorder="true" applyAlignment="true" applyProtection="true">
      <alignment horizontal="general" vertical="bottom" textRotation="0" wrapText="false" indent="0" shrinkToFit="false"/>
      <protection locked="true" hidden="false"/>
    </xf>
    <xf numFmtId="165" fontId="34" fillId="0" borderId="1" xfId="15" applyFont="true" applyBorder="true" applyAlignment="true" applyProtection="true">
      <alignment horizontal="general" vertical="bottom" textRotation="0" wrapText="false" indent="0" shrinkToFit="false"/>
      <protection locked="true" hidden="false"/>
    </xf>
    <xf numFmtId="177" fontId="10" fillId="0" borderId="1" xfId="19" applyFont="true" applyBorder="true" applyAlignment="true" applyProtection="true">
      <alignment horizontal="general" vertical="bottom" textRotation="0" wrapText="false" indent="0" shrinkToFit="false"/>
      <protection locked="true" hidden="false"/>
    </xf>
    <xf numFmtId="165" fontId="34" fillId="0" borderId="1" xfId="15" applyFont="true" applyBorder="true" applyAlignment="true" applyProtection="true">
      <alignment horizontal="left" vertical="bottom" textRotation="0" wrapText="false" indent="0" shrinkToFit="false"/>
      <protection locked="true" hidden="false"/>
    </xf>
    <xf numFmtId="165" fontId="34" fillId="0" borderId="3" xfId="15" applyFont="true" applyBorder="true" applyAlignment="true" applyProtection="true">
      <alignment horizontal="general" vertical="bottom" textRotation="0" wrapText="false" indent="0" shrinkToFit="false"/>
      <protection locked="true" hidden="false"/>
    </xf>
    <xf numFmtId="170" fontId="10" fillId="0" borderId="3" xfId="15" applyFont="true" applyBorder="true" applyAlignment="true" applyProtection="true">
      <alignment horizontal="general" vertical="bottom" textRotation="0" wrapText="false" indent="0" shrinkToFit="false"/>
      <protection locked="true" hidden="false"/>
    </xf>
    <xf numFmtId="170" fontId="10" fillId="0" borderId="3" xfId="17" applyFont="true" applyBorder="true" applyAlignment="true" applyProtection="true">
      <alignment horizontal="general" vertical="bottom" textRotation="0" wrapText="false" indent="0" shrinkToFit="false"/>
      <protection locked="true" hidden="false"/>
    </xf>
    <xf numFmtId="165" fontId="32" fillId="4" borderId="0" xfId="0" applyFont="true" applyBorder="false" applyAlignment="false" applyProtection="false">
      <alignment horizontal="general" vertical="bottom" textRotation="0" wrapText="false" indent="0" shrinkToFit="false"/>
      <protection locked="true" hidden="false"/>
    </xf>
    <xf numFmtId="165" fontId="58" fillId="0" borderId="0" xfId="0" applyFont="true" applyBorder="true" applyAlignment="true" applyProtection="false">
      <alignment horizontal="left" vertical="center" textRotation="0" wrapText="false" indent="0" shrinkToFit="false"/>
      <protection locked="true" hidden="false"/>
    </xf>
    <xf numFmtId="165" fontId="59" fillId="0" borderId="0" xfId="20" applyFont="true" applyBorder="true" applyAlignment="true" applyProtection="true">
      <alignment horizontal="center" vertical="center" textRotation="0" wrapText="true" indent="0" shrinkToFit="false"/>
      <protection locked="true" hidden="false"/>
    </xf>
    <xf numFmtId="165" fontId="58" fillId="0" borderId="0" xfId="0" applyFont="true" applyBorder="true" applyAlignment="true" applyProtection="false">
      <alignment horizontal="general" vertical="center" textRotation="0" wrapText="false" indent="0" shrinkToFit="false"/>
      <protection locked="true" hidden="false"/>
    </xf>
    <xf numFmtId="165" fontId="34" fillId="5" borderId="3" xfId="0" applyFont="true" applyBorder="true" applyAlignment="true" applyProtection="true">
      <alignment horizontal="general" vertical="center" textRotation="0" wrapText="false" indent="0" shrinkToFit="false"/>
      <protection locked="false" hidden="false"/>
    </xf>
    <xf numFmtId="165" fontId="34" fillId="5" borderId="1" xfId="0" applyFont="true" applyBorder="true" applyAlignment="true" applyProtection="true">
      <alignment horizontal="general" vertical="center" textRotation="0" wrapText="false" indent="0" shrinkToFit="false"/>
      <protection locked="false" hidden="false"/>
    </xf>
    <xf numFmtId="165" fontId="32" fillId="0" borderId="1" xfId="0" applyFont="true" applyBorder="true" applyAlignment="true" applyProtection="false">
      <alignment horizontal="general" vertical="bottom" textRotation="0" wrapText="true" indent="0" shrinkToFit="false"/>
      <protection locked="true" hidden="false"/>
    </xf>
    <xf numFmtId="169" fontId="32" fillId="7" borderId="1" xfId="0" applyFont="true" applyBorder="true" applyAlignment="false" applyProtection="true">
      <alignment horizontal="general" vertical="bottom" textRotation="0" wrapText="false" indent="0" shrinkToFit="false"/>
      <protection locked="false" hidden="false"/>
    </xf>
    <xf numFmtId="165" fontId="34" fillId="0" borderId="1" xfId="0" applyFont="true" applyBorder="true" applyAlignment="true" applyProtection="false">
      <alignment horizontal="general" vertical="bottom" textRotation="0" wrapText="true" indent="0" shrinkToFit="false"/>
      <protection locked="true" hidden="false"/>
    </xf>
    <xf numFmtId="165" fontId="32" fillId="7" borderId="1" xfId="0" applyFont="true" applyBorder="true" applyAlignment="false" applyProtection="true">
      <alignment horizontal="general" vertical="bottom" textRotation="0" wrapText="false" indent="0" shrinkToFit="false"/>
      <protection locked="false" hidden="false"/>
    </xf>
    <xf numFmtId="165" fontId="10" fillId="0" borderId="1" xfId="0" applyFont="true" applyBorder="true" applyAlignment="true" applyProtection="false">
      <alignment horizontal="general" vertical="bottom" textRotation="0" wrapText="true" indent="0" shrinkToFit="false"/>
      <protection locked="true" hidden="false"/>
    </xf>
    <xf numFmtId="165" fontId="39" fillId="0" borderId="0" xfId="0" applyFont="true" applyBorder="true" applyAlignment="true" applyProtection="false">
      <alignment horizontal="general" vertical="bottom" textRotation="0" wrapText="true" indent="0" shrinkToFit="false"/>
      <protection locked="true" hidden="false"/>
    </xf>
    <xf numFmtId="165" fontId="39" fillId="0" borderId="0" xfId="0" applyFont="true" applyBorder="true" applyAlignment="false" applyProtection="false">
      <alignment horizontal="general" vertical="bottom" textRotation="0" wrapText="false" indent="0" shrinkToFit="false"/>
      <protection locked="true" hidden="false"/>
    </xf>
    <xf numFmtId="165" fontId="60" fillId="6" borderId="0" xfId="20" applyFont="true" applyBorder="true" applyAlignment="true" applyProtection="true">
      <alignment horizontal="center" vertical="center" textRotation="0" wrapText="false" indent="0" shrinkToFit="false"/>
      <protection locked="true" hidden="false"/>
    </xf>
    <xf numFmtId="165" fontId="61" fillId="6" borderId="0" xfId="20" applyFont="true" applyBorder="true" applyAlignment="true" applyProtection="true">
      <alignment horizontal="center" vertical="center" textRotation="0" wrapText="false" indent="0" shrinkToFit="false"/>
      <protection locked="true" hidden="false"/>
    </xf>
    <xf numFmtId="165" fontId="10" fillId="0" borderId="3" xfId="0" applyFont="true" applyBorder="true" applyAlignment="false" applyProtection="false">
      <alignment horizontal="general" vertical="bottom" textRotation="0" wrapText="false" indent="0" shrinkToFit="false"/>
      <protection locked="true" hidden="false"/>
    </xf>
    <xf numFmtId="165" fontId="10" fillId="0" borderId="1" xfId="0" applyFont="true" applyBorder="true" applyAlignment="false" applyProtection="false">
      <alignment horizontal="general" vertical="bottom" textRotation="0" wrapText="false" indent="0" shrinkToFit="false"/>
      <protection locked="true" hidden="false"/>
    </xf>
    <xf numFmtId="173" fontId="34" fillId="0" borderId="1" xfId="0" applyFont="true" applyBorder="true" applyAlignment="false" applyProtection="false">
      <alignment horizontal="general" vertical="bottom" textRotation="0" wrapText="false" indent="0" shrinkToFit="false"/>
      <protection locked="true" hidden="false"/>
    </xf>
    <xf numFmtId="166" fontId="34" fillId="0" borderId="1" xfId="0" applyFont="true" applyBorder="true" applyAlignment="false" applyProtection="false">
      <alignment horizontal="general" vertical="bottom" textRotation="0" wrapText="false" indent="0" shrinkToFit="false"/>
      <protection locked="true" hidden="false"/>
    </xf>
    <xf numFmtId="183" fontId="34" fillId="0" borderId="1" xfId="0" applyFont="true" applyBorder="true" applyAlignment="false" applyProtection="false">
      <alignment horizontal="general" vertical="bottom" textRotation="0" wrapText="false" indent="0" shrinkToFit="false"/>
      <protection locked="true" hidden="false"/>
    </xf>
    <xf numFmtId="165" fontId="10" fillId="0" borderId="1" xfId="0" applyFont="true" applyBorder="true" applyAlignment="true" applyProtection="false">
      <alignment horizontal="center" vertical="bottom" textRotation="0" wrapText="false" indent="0" shrinkToFit="false"/>
      <protection locked="true" hidden="false"/>
    </xf>
    <xf numFmtId="170" fontId="34" fillId="0" borderId="1" xfId="15" applyFont="true" applyBorder="true" applyAlignment="true" applyProtection="true">
      <alignment horizontal="right" vertical="bottom" textRotation="0" wrapText="false" indent="0" shrinkToFit="false"/>
      <protection locked="true" hidden="false"/>
    </xf>
    <xf numFmtId="169" fontId="34" fillId="0" borderId="1" xfId="0" applyFont="true" applyBorder="true" applyAlignment="true" applyProtection="false">
      <alignment horizontal="right" vertical="bottom" textRotation="0" wrapText="false" indent="0" shrinkToFit="false"/>
      <protection locked="true" hidden="false"/>
    </xf>
    <xf numFmtId="171" fontId="34" fillId="0" borderId="1" xfId="0" applyFont="true" applyBorder="true" applyAlignment="true" applyProtection="false">
      <alignment horizontal="right" vertical="bottom" textRotation="0" wrapText="false" indent="0" shrinkToFit="false"/>
      <protection locked="true" hidden="false"/>
    </xf>
    <xf numFmtId="171" fontId="34" fillId="0" borderId="1" xfId="0" applyFont="true" applyBorder="true" applyAlignment="false" applyProtection="false">
      <alignment horizontal="general" vertical="bottom" textRotation="0" wrapText="false" indent="0" shrinkToFit="false"/>
      <protection locked="true" hidden="false"/>
    </xf>
    <xf numFmtId="167" fontId="34" fillId="0" borderId="3" xfId="17" applyFont="true" applyBorder="true" applyAlignment="true" applyProtection="true">
      <alignment horizontal="general" vertical="bottom" textRotation="0" wrapText="false" indent="0" shrinkToFit="false"/>
      <protection locked="true" hidden="false"/>
    </xf>
    <xf numFmtId="173" fontId="34" fillId="0" borderId="1" xfId="0" applyFont="true" applyBorder="true" applyAlignment="false" applyProtection="false">
      <alignment horizontal="general" vertical="bottom" textRotation="0" wrapText="false" indent="0" shrinkToFit="false"/>
      <protection locked="true" hidden="false"/>
    </xf>
    <xf numFmtId="166" fontId="34" fillId="0" borderId="1" xfId="0" applyFont="true" applyBorder="true" applyAlignment="false" applyProtection="false">
      <alignment horizontal="general" vertical="bottom" textRotation="0" wrapText="false" indent="0" shrinkToFit="false"/>
      <protection locked="true" hidden="false"/>
    </xf>
    <xf numFmtId="183" fontId="34" fillId="0" borderId="1" xfId="0" applyFont="true" applyBorder="true" applyAlignment="false" applyProtection="false">
      <alignment horizontal="general" vertical="bottom" textRotation="0" wrapText="false" indent="0" shrinkToFit="false"/>
      <protection locked="true" hidden="false"/>
    </xf>
    <xf numFmtId="165" fontId="10" fillId="0" borderId="1" xfId="0" applyFont="true" applyBorder="true" applyAlignment="true" applyProtection="false">
      <alignment horizontal="left" vertical="bottom" textRotation="0" wrapText="false" indent="4" shrinkToFit="false"/>
      <protection locked="true" hidden="false"/>
    </xf>
    <xf numFmtId="184" fontId="34" fillId="0" borderId="3" xfId="0" applyFont="true" applyBorder="true" applyAlignment="false" applyProtection="false">
      <alignment horizontal="general" vertical="bottom" textRotation="0" wrapText="false" indent="0" shrinkToFit="false"/>
      <protection locked="true" hidden="false"/>
    </xf>
    <xf numFmtId="165" fontId="10" fillId="0" borderId="3" xfId="0" applyFont="true" applyBorder="true" applyAlignment="true" applyProtection="true">
      <alignment horizontal="left" vertical="bottom" textRotation="0" wrapText="false" indent="0" shrinkToFit="false"/>
      <protection locked="true" hidden="false"/>
    </xf>
    <xf numFmtId="169" fontId="34" fillId="0" borderId="1" xfId="0" applyFont="true" applyBorder="true" applyAlignment="false" applyProtection="false">
      <alignment horizontal="general" vertical="bottom" textRotation="0" wrapText="false" indent="0" shrinkToFit="false"/>
      <protection locked="true" hidden="false"/>
    </xf>
    <xf numFmtId="181" fontId="34" fillId="0" borderId="1" xfId="0" applyFont="true" applyBorder="true" applyAlignment="false" applyProtection="false">
      <alignment horizontal="general" vertical="bottom" textRotation="0" wrapText="false" indent="0" shrinkToFit="false"/>
      <protection locked="true" hidden="false"/>
    </xf>
    <xf numFmtId="169" fontId="34" fillId="0" borderId="3" xfId="0" applyFont="true" applyBorder="true" applyAlignment="false" applyProtection="false">
      <alignment horizontal="general" vertical="bottom" textRotation="0" wrapText="false" indent="0" shrinkToFit="false"/>
      <protection locked="true" hidden="false"/>
    </xf>
    <xf numFmtId="165" fontId="62" fillId="0" borderId="0" xfId="0" applyFont="true" applyBorder="false" applyAlignment="false" applyProtection="false">
      <alignment horizontal="general" vertical="bottom" textRotation="0" wrapText="false" indent="0" shrinkToFit="false"/>
      <protection locked="true" hidden="false"/>
    </xf>
    <xf numFmtId="185"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cellXfs>
  <cellStyles count="1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Comma 2" xfId="21" builtinId="54" customBuiltin="true"/>
    <cellStyle name="Currency 2" xfId="22" builtinId="54" customBuiltin="true"/>
    <cellStyle name="Normal 2" xfId="23" builtinId="54" customBuiltin="true"/>
    <cellStyle name="Percent 2" xfId="24" builtinId="54" customBuiltin="true"/>
    <cellStyle name="Title 2" xfId="25" builtinId="54" customBuiltin="true"/>
    <cellStyle name="Excel Built-in Heading 1" xfId="26" builtinId="54" customBuiltin="true"/>
    <cellStyle name="*unknown*" xfId="20" builtinId="8" customBuiltin="false"/>
  </cellStyles>
  <dxfs count="92">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FF0000"/>
        <name val="Calibri"/>
        <family val="2"/>
        <charset val="1"/>
      </font>
    </dxf>
    <dxf>
      <font>
        <sz val="11"/>
        <color rgb="FF6A9F42"/>
        <name val="Calibri"/>
        <family val="2"/>
        <charset val="1"/>
      </font>
    </dxf>
    <dxf>
      <font>
        <sz val="11"/>
        <color rgb="FFFF0000"/>
        <name val="Calibri"/>
        <family val="2"/>
        <charset val="1"/>
      </font>
    </dxf>
    <dxf>
      <font>
        <sz val="11"/>
        <color rgb="FF000000"/>
        <name val="Calibri"/>
        <family val="2"/>
        <charset val="1"/>
      </font>
      <numFmt numFmtId="164" formatCode="@"/>
      <fill>
        <patternFill>
          <bgColor rgb="FFFF0000"/>
        </patternFill>
      </fill>
    </dxf>
    <dxf>
      <font>
        <sz val="11"/>
        <color rgb="FF000000"/>
        <name val="Calibri"/>
        <family val="2"/>
        <charset val="1"/>
      </font>
      <fill>
        <patternFill>
          <bgColor rgb="FFF89E53"/>
        </patternFill>
      </fill>
    </dxf>
    <dxf>
      <font>
        <sz val="11"/>
        <color rgb="FF000000"/>
        <name val="Calibri"/>
        <family val="2"/>
        <charset val="1"/>
      </font>
      <fill>
        <patternFill>
          <bgColor rgb="FFFFD200"/>
        </patternFill>
      </fill>
    </dxf>
    <dxf>
      <font>
        <sz val="11"/>
        <color rgb="FF000000"/>
        <name val="Calibri"/>
        <family val="2"/>
        <charset val="1"/>
      </font>
      <fill>
        <patternFill>
          <bgColor rgb="FFFFD200"/>
        </patternFill>
      </fill>
    </dxf>
    <dxf>
      <font>
        <sz val="11"/>
        <color rgb="FF000000"/>
        <name val="Calibri"/>
        <family val="2"/>
        <charset val="1"/>
      </font>
      <fill>
        <patternFill>
          <bgColor rgb="FFFFD200"/>
        </patternFill>
      </fill>
    </dxf>
    <dxf>
      <font>
        <sz val="11"/>
        <color rgb="FF000000"/>
        <name val="Calibri"/>
        <family val="2"/>
        <charset val="1"/>
      </font>
      <fill>
        <patternFill>
          <bgColor rgb="FFFFD200"/>
        </patternFill>
      </fill>
    </dxf>
    <dxf>
      <font>
        <sz val="11"/>
        <color rgb="FF000000"/>
        <name val="Calibri"/>
        <family val="2"/>
        <charset val="1"/>
      </font>
      <fill>
        <patternFill>
          <bgColor rgb="FFFFD200"/>
        </patternFill>
      </fill>
    </dxf>
    <dxf>
      <font>
        <sz val="11"/>
        <color rgb="FF000000"/>
        <name val="Calibri"/>
        <family val="2"/>
        <charset val="1"/>
      </font>
      <fill>
        <patternFill>
          <bgColor rgb="FFFFD200"/>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FE043"/>
        </patternFill>
      </fill>
    </dxf>
    <dxf>
      <font>
        <sz val="11"/>
        <color rgb="FF000000"/>
        <name val="Calibri"/>
        <family val="2"/>
        <charset val="1"/>
      </font>
      <fill>
        <patternFill>
          <bgColor rgb="FFF89E53"/>
        </patternFill>
      </fill>
    </dxf>
    <dxf>
      <font>
        <sz val="11"/>
        <color rgb="FFD9D9D9"/>
        <name val="Cambria"/>
        <family val="1"/>
        <charset val="1"/>
      </font>
    </dxf>
    <dxf>
      <font>
        <sz val="11"/>
        <color rgb="FFC3DEAE"/>
        <name val="Cambria"/>
        <family val="1"/>
        <charset val="1"/>
      </font>
    </dxf>
    <dxf>
      <font>
        <sz val="11"/>
        <color rgb="FFC3DEAE"/>
        <name val="Cambria"/>
        <family val="1"/>
        <charset val="1"/>
      </font>
    </dxf>
    <dxf>
      <font>
        <sz val="11"/>
        <color rgb="FFC3DEAE"/>
        <name val="Cambria"/>
        <family val="1"/>
        <charset val="1"/>
      </font>
    </dxf>
    <dxf>
      <font>
        <sz val="11"/>
        <color rgb="FF000000"/>
        <name val="Calibri"/>
        <family val="2"/>
        <charset val="1"/>
      </font>
      <fill>
        <patternFill>
          <bgColor rgb="FFFFD200"/>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D9D9D9"/>
        <name val="Cambria"/>
        <family val="1"/>
        <charset val="1"/>
      </font>
    </dxf>
    <dxf>
      <font>
        <sz val="11"/>
        <color rgb="FFC3DEAE"/>
        <name val="Cambria"/>
        <family val="1"/>
        <charset val="1"/>
      </font>
    </dxf>
    <dxf>
      <font>
        <sz val="11"/>
        <color rgb="FFC3DEAE"/>
        <name val="Cambria"/>
        <family val="1"/>
        <charset val="1"/>
      </font>
    </dxf>
    <dxf>
      <font>
        <sz val="11"/>
        <color rgb="FF000000"/>
        <name val="Calibri"/>
        <family val="2"/>
        <charset val="1"/>
      </font>
      <fill>
        <patternFill>
          <bgColor rgb="FFFFD200"/>
        </patternFill>
      </fill>
    </dxf>
    <dxf>
      <font>
        <sz val="11"/>
        <color rgb="FF000000"/>
        <name val="Calibri"/>
        <family val="2"/>
        <charset val="1"/>
      </font>
      <fill>
        <patternFill>
          <bgColor rgb="FFF89E53"/>
        </patternFill>
      </fill>
    </dxf>
    <dxf>
      <font>
        <sz val="11"/>
        <color rgb="FFD9D9D9"/>
        <name val="Cambria"/>
        <family val="1"/>
        <charset val="1"/>
      </font>
    </dxf>
    <dxf>
      <font>
        <sz val="11"/>
        <color rgb="FFC3DEAE"/>
        <name val="Cambria"/>
        <family val="1"/>
        <charset val="1"/>
      </font>
    </dxf>
    <dxf>
      <font>
        <sz val="11"/>
        <color rgb="FFC3DEAE"/>
        <name val="Cambria"/>
        <family val="1"/>
        <charset val="1"/>
      </font>
    </dxf>
    <dxf>
      <font>
        <sz val="11"/>
        <color rgb="FFC3DEAE"/>
        <name val="Cambria"/>
        <family val="1"/>
        <charset val="1"/>
      </font>
    </dxf>
    <dxf>
      <font>
        <sz val="11"/>
        <color rgb="FF000000"/>
        <name val="Calibri"/>
        <family val="2"/>
        <charset val="1"/>
      </font>
      <fill>
        <patternFill>
          <bgColor rgb="FFFFD200"/>
        </patternFill>
      </fill>
    </dxf>
    <dxf>
      <font>
        <sz val="11"/>
        <color rgb="FFC3DEAE"/>
        <name val="Cambria"/>
        <family val="1"/>
        <charset val="1"/>
      </font>
    </dxf>
    <dxf>
      <font>
        <sz val="11"/>
        <color rgb="FFC3DEAE"/>
        <name val="Cambria"/>
        <family val="1"/>
        <charset val="1"/>
      </font>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C3DEAE"/>
        <name val="Cambria"/>
        <family val="1"/>
        <charset val="1"/>
      </font>
    </dxf>
    <dxf>
      <font>
        <sz val="11"/>
        <color rgb="FF000000"/>
        <name val="Calibri"/>
        <family val="2"/>
        <charset val="1"/>
      </font>
      <fill>
        <patternFill>
          <bgColor rgb="FFFFE043"/>
        </patternFill>
      </fill>
    </dxf>
    <dxf>
      <font>
        <sz val="11"/>
        <color rgb="FFBFBFBF"/>
        <name val="Calibri"/>
        <family val="2"/>
        <charset val="1"/>
      </font>
    </dxf>
    <dxf>
      <font>
        <sz val="11"/>
        <color rgb="FF000000"/>
        <name val="Calibri"/>
        <family val="2"/>
        <charset val="1"/>
      </font>
      <fill>
        <patternFill>
          <bgColor rgb="FFFFE043"/>
        </patternFill>
      </fill>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000000"/>
        <name val="Calibri"/>
        <family val="2"/>
        <charset val="1"/>
      </font>
      <fill>
        <patternFill>
          <bgColor rgb="00FFFFFF"/>
        </patternFill>
      </fill>
    </dxf>
    <dxf>
      <font>
        <sz val="11"/>
        <color rgb="FF000000"/>
        <name val="Calibri"/>
        <family val="2"/>
        <charset val="1"/>
      </font>
      <fill>
        <patternFill>
          <bgColor rgb="FFFFD200"/>
        </patternFill>
      </fill>
    </dxf>
    <dxf>
      <font>
        <sz val="11"/>
        <color rgb="FFA6A6A6"/>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BFBFBF"/>
        <name val="Calibri"/>
        <family val="2"/>
        <charset val="1"/>
      </font>
    </dxf>
    <dxf>
      <font>
        <sz val="11"/>
        <color rgb="FF000000"/>
        <name val="Calibri"/>
        <family val="2"/>
        <charset val="1"/>
      </font>
      <fill>
        <patternFill>
          <bgColor rgb="FFFF0000"/>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
      <font>
        <sz val="11"/>
        <color rgb="FF000000"/>
        <name val="Calibri"/>
        <family val="2"/>
        <charset val="1"/>
      </font>
      <fill>
        <patternFill>
          <bgColor rgb="FFF89E53"/>
        </patternFill>
      </fill>
    </dxf>
  </dxfs>
  <colors>
    <indexedColors>
      <rgbColor rgb="FF000000"/>
      <rgbColor rgb="FFFFFFFF"/>
      <rgbColor rgb="FFFF0000"/>
      <rgbColor rgb="FF00FF00"/>
      <rgbColor rgb="FF0000FF"/>
      <rgbColor rgb="FFFFE043"/>
      <rgbColor rgb="FFFF00FF"/>
      <rgbColor rgb="FF00FFFF"/>
      <rgbColor rgb="FF800000"/>
      <rgbColor rgb="FF1FB714"/>
      <rgbColor rgb="FF000080"/>
      <rgbColor rgb="FF808000"/>
      <rgbColor rgb="FF800080"/>
      <rgbColor rgb="FF008080"/>
      <rgbColor rgb="FFBFBFBF"/>
      <rgbColor rgb="FF6A9F42"/>
      <rgbColor rgb="FF9999FF"/>
      <rgbColor rgb="FF993366"/>
      <rgbColor rgb="FFFFFFCC"/>
      <rgbColor rgb="FFCCFFFF"/>
      <rgbColor rgb="FF660066"/>
      <rgbColor rgb="FFF89E53"/>
      <rgbColor rgb="FF0066CC"/>
      <rgbColor rgb="FFD9D9D9"/>
      <rgbColor rgb="FF000080"/>
      <rgbColor rgb="FFFF00FF"/>
      <rgbColor rgb="FFFFFF00"/>
      <rgbColor rgb="FF00FFFF"/>
      <rgbColor rgb="FF800080"/>
      <rgbColor rgb="FF800000"/>
      <rgbColor rgb="FF006EB7"/>
      <rgbColor rgb="FF0000D4"/>
      <rgbColor rgb="FF30A1FF"/>
      <rgbColor rgb="FFCCFFFF"/>
      <rgbColor rgb="FFC3DEAE"/>
      <rgbColor rgb="FFFFFF99"/>
      <rgbColor rgb="FF8ACC9E"/>
      <rgbColor rgb="FFFF99CC"/>
      <rgbColor rgb="FFCC99FF"/>
      <rgbColor rgb="FFFFC95B"/>
      <rgbColor rgb="FF0070C0"/>
      <rgbColor rgb="FF44C8F5"/>
      <rgbColor rgb="FF99CC00"/>
      <rgbColor rgb="FFFFD200"/>
      <rgbColor rgb="FFFF9900"/>
      <rgbColor rgb="FFFF6600"/>
      <rgbColor rgb="FF666699"/>
      <rgbColor rgb="FFA6A6A6"/>
      <rgbColor rgb="FF003366"/>
      <rgbColor rgb="FF339966"/>
      <rgbColor rgb="FF003300"/>
      <rgbColor rgb="FF333300"/>
      <rgbColor rgb="FFDD080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57600</xdr:colOff>
      <xdr:row>8</xdr:row>
      <xdr:rowOff>132120</xdr:rowOff>
    </xdr:from>
    <xdr:to>
      <xdr:col>4</xdr:col>
      <xdr:colOff>426960</xdr:colOff>
      <xdr:row>33</xdr:row>
      <xdr:rowOff>38520</xdr:rowOff>
    </xdr:to>
    <xdr:sp>
      <xdr:nvSpPr>
        <xdr:cNvPr id="0" name="CustomShape 1"/>
        <xdr:cNvSpPr/>
      </xdr:nvSpPr>
      <xdr:spPr>
        <a:xfrm>
          <a:off x="531720" y="2440800"/>
          <a:ext cx="5763600" cy="5621400"/>
        </a:xfrm>
        <a:prstGeom prst="rect">
          <a:avLst/>
        </a:prstGeom>
        <a:noFill/>
        <a:ln w="57240">
          <a:solidFill>
            <a:srgbClr val="44c8f5"/>
          </a:solidFill>
          <a:round/>
        </a:ln>
      </xdr:spPr>
      <xdr:txBody>
        <a:bodyPr rIns="0" tIns="91440" bIns="0"/>
        <a:p>
          <a:pPr>
            <a:lnSpc>
              <a:spcPct val="100000"/>
            </a:lnSpc>
          </a:pPr>
          <a:endParaRPr/>
        </a:p>
        <a:p>
          <a:pPr>
            <a:lnSpc>
              <a:spcPct val="100000"/>
            </a:lnSpc>
          </a:pPr>
          <a:r>
            <a:rPr lang="en-IN" sz="1100">
              <a:solidFill>
                <a:srgbClr val="000000"/>
              </a:solidFill>
              <a:latin typeface="Gill Sans MT"/>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endParaRPr/>
        </a:p>
        <a:p>
          <a:pPr>
            <a:lnSpc>
              <a:spcPct val="100000"/>
            </a:lnSpc>
          </a:pPr>
          <a:r>
            <a:rPr lang="en-IN" sz="1100">
              <a:solidFill>
                <a:srgbClr val="000000"/>
              </a:solidFill>
              <a:latin typeface="Gill Sans MT"/>
            </a:rPr>
            <a:t> </a:t>
          </a:r>
          <a:endParaRPr/>
        </a:p>
        <a:p>
          <a:pPr>
            <a:lnSpc>
              <a:spcPct val="100000"/>
            </a:lnSpc>
          </a:pPr>
          <a:r>
            <a:rPr lang="en-IN" sz="1100">
              <a:solidFill>
                <a:srgbClr val="000000"/>
              </a:solidFill>
              <a:latin typeface="Gill Sans MT"/>
            </a:rPr>
            <a:t>It is designed for a wide variety of users, from those who have little or no accounting or Excel experience to those who may be well versed in finance, accounting and the use of Microsoft Excel.</a:t>
          </a:r>
          <a:endParaRPr/>
        </a:p>
        <a:p>
          <a:pPr>
            <a:lnSpc>
              <a:spcPct val="100000"/>
            </a:lnSpc>
          </a:pPr>
          <a:endParaRPr/>
        </a:p>
        <a:p>
          <a:pPr>
            <a:lnSpc>
              <a:spcPct val="100000"/>
            </a:lnSpc>
          </a:pPr>
          <a:r>
            <a:rPr lang="en-IN" sz="1100">
              <a:solidFill>
                <a:srgbClr val="000000"/>
              </a:solidFill>
              <a:latin typeface="Gill Sans MT"/>
            </a:rPr>
            <a:t>The workbook contains a number of worksheets, each documented two ways. Extensive directions and guidance for a particular page or on a specific accounting topic are found in blue boxes (like this one) on pages that are not self-explanatory.</a:t>
          </a:r>
          <a:endParaRPr/>
        </a:p>
        <a:p>
          <a:pPr>
            <a:lnSpc>
              <a:spcPct val="100000"/>
            </a:lnSpc>
          </a:pPr>
          <a:endParaRPr/>
        </a:p>
        <a:p>
          <a:pPr>
            <a:lnSpc>
              <a:spcPct val="100000"/>
            </a:lnSpc>
          </a:pPr>
          <a:r>
            <a:rPr lang="en-IN" sz="1100">
              <a:solidFill>
                <a:srgbClr val="000000"/>
              </a:solidFill>
              <a:latin typeface="Gill Sans MT"/>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endParaRPr/>
        </a:p>
        <a:p>
          <a:pPr>
            <a:lnSpc>
              <a:spcPct val="100000"/>
            </a:lnSpc>
          </a:pPr>
          <a:endParaRPr/>
        </a:p>
        <a:p>
          <a:pPr>
            <a:lnSpc>
              <a:spcPct val="100000"/>
            </a:lnSpc>
          </a:pPr>
          <a:r>
            <a:rPr lang="en-IN" sz="1100">
              <a:solidFill>
                <a:srgbClr val="000000"/>
              </a:solidFill>
              <a:latin typeface="Gill Sans MT"/>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endParaRPr/>
        </a:p>
        <a:p>
          <a:pPr>
            <a:lnSpc>
              <a:spcPct val="100000"/>
            </a:lnSpc>
          </a:pPr>
          <a:endParaRPr/>
        </a:p>
        <a:p>
          <a:pPr>
            <a:lnSpc>
              <a:spcPct val="100000"/>
            </a:lnSpc>
          </a:pPr>
          <a:r>
            <a:rPr lang="en-IN" sz="1100">
              <a:solidFill>
                <a:srgbClr val="000000"/>
              </a:solidFill>
              <a:latin typeface="Gill Sans MT"/>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endParaRPr/>
        </a:p>
      </xdr:txBody>
    </xdr:sp>
    <xdr:clientData/>
  </xdr:twoCellAnchor>
  <xdr:twoCellAnchor editAs="absolute">
    <xdr:from>
      <xdr:col>4</xdr:col>
      <xdr:colOff>752760</xdr:colOff>
      <xdr:row>8</xdr:row>
      <xdr:rowOff>124200</xdr:rowOff>
    </xdr:from>
    <xdr:to>
      <xdr:col>7</xdr:col>
      <xdr:colOff>493200</xdr:colOff>
      <xdr:row>16</xdr:row>
      <xdr:rowOff>63000</xdr:rowOff>
    </xdr:to>
    <xdr:sp>
      <xdr:nvSpPr>
        <xdr:cNvPr id="1" name="CustomShape 1"/>
        <xdr:cNvSpPr/>
      </xdr:nvSpPr>
      <xdr:spPr>
        <a:xfrm>
          <a:off x="6621120" y="2432880"/>
          <a:ext cx="3444480" cy="1767600"/>
        </a:xfrm>
        <a:prstGeom prst="rect">
          <a:avLst/>
        </a:prstGeom>
        <a:solidFill>
          <a:srgbClr val="ffffff"/>
        </a:solidFill>
        <a:ln w="9360">
          <a:solidFill>
            <a:srgbClr val="bcbcbc"/>
          </a:solidFill>
          <a:round/>
        </a:ln>
      </xdr:spPr>
      <xdr:txBody>
        <a:bodyPr lIns="90000" rIns="90000" tIns="45000" bIns="45000"/>
        <a:p>
          <a:r>
            <a:rPr lang="en-IN" sz="2000">
              <a:solidFill>
                <a:srgbClr val="000000"/>
              </a:solidFill>
              <a:latin typeface="Gill Sans MT"/>
            </a:rPr>
            <a:t>Color-Coding:</a:t>
          </a:r>
          <a:endParaRPr/>
        </a:p>
        <a:p>
          <a:endParaRPr/>
        </a:p>
        <a:p>
          <a:r>
            <a:rPr lang="en-IN" sz="1100">
              <a:solidFill>
                <a:srgbClr val="000000"/>
              </a:solidFill>
              <a:latin typeface="Calibri"/>
            </a:rPr>
            <a:t>                     </a:t>
          </a:r>
          <a:endParaRPr/>
        </a:p>
      </xdr:txBody>
    </xdr:sp>
    <xdr:clientData/>
  </xdr:twoCellAnchor>
  <xdr:twoCellAnchor editAs="absolute">
    <xdr:from>
      <xdr:col>4</xdr:col>
      <xdr:colOff>915120</xdr:colOff>
      <xdr:row>10</xdr:row>
      <xdr:rowOff>197640</xdr:rowOff>
    </xdr:from>
    <xdr:to>
      <xdr:col>7</xdr:col>
      <xdr:colOff>331200</xdr:colOff>
      <xdr:row>11</xdr:row>
      <xdr:rowOff>209160</xdr:rowOff>
    </xdr:to>
    <xdr:sp>
      <xdr:nvSpPr>
        <xdr:cNvPr id="2" name="CustomShape 1"/>
        <xdr:cNvSpPr/>
      </xdr:nvSpPr>
      <xdr:spPr>
        <a:xfrm>
          <a:off x="6783480" y="2963520"/>
          <a:ext cx="3120120" cy="240120"/>
        </a:xfrm>
        <a:prstGeom prst="rect">
          <a:avLst/>
        </a:prstGeom>
        <a:solidFill>
          <a:srgbClr val="f89e53"/>
        </a:solidFill>
        <a:ln w="9360">
          <a:solidFill>
            <a:srgbClr val="679d3e"/>
          </a:solidFill>
          <a:round/>
        </a:ln>
      </xdr:spPr>
      <xdr:txBody>
        <a:bodyPr lIns="90000" rIns="90000" tIns="45000" bIns="45000"/>
        <a:p>
          <a:pPr algn="ctr">
            <a:lnSpc>
              <a:spcPct val="100000"/>
            </a:lnSpc>
          </a:pPr>
          <a:r>
            <a:rPr b="1" lang="en-IN" sz="1100">
              <a:solidFill>
                <a:srgbClr val="000000"/>
              </a:solidFill>
              <a:latin typeface="Gill Sans MT"/>
            </a:rPr>
            <a:t>Enter Data Here</a:t>
          </a:r>
          <a:endParaRPr/>
        </a:p>
      </xdr:txBody>
    </xdr:sp>
    <xdr:clientData/>
  </xdr:twoCellAnchor>
  <xdr:twoCellAnchor editAs="absolute">
    <xdr:from>
      <xdr:col>4</xdr:col>
      <xdr:colOff>906840</xdr:colOff>
      <xdr:row>13</xdr:row>
      <xdr:rowOff>122400</xdr:rowOff>
    </xdr:from>
    <xdr:to>
      <xdr:col>7</xdr:col>
      <xdr:colOff>323280</xdr:colOff>
      <xdr:row>14</xdr:row>
      <xdr:rowOff>133920</xdr:rowOff>
    </xdr:to>
    <xdr:sp>
      <xdr:nvSpPr>
        <xdr:cNvPr id="3" name="CustomShape 1"/>
        <xdr:cNvSpPr/>
      </xdr:nvSpPr>
      <xdr:spPr>
        <a:xfrm>
          <a:off x="6775200" y="3574080"/>
          <a:ext cx="3120480" cy="240120"/>
        </a:xfrm>
        <a:prstGeom prst="rect">
          <a:avLst/>
        </a:prstGeom>
        <a:solidFill>
          <a:srgbClr val="ffc95b"/>
        </a:solidFill>
        <a:ln w="9360">
          <a:solidFill>
            <a:srgbClr val="679d3e"/>
          </a:solidFill>
          <a:round/>
        </a:ln>
      </xdr:spPr>
      <xdr:txBody>
        <a:bodyPr lIns="90000" rIns="90000" tIns="45000" bIns="45000"/>
        <a:p>
          <a:pPr algn="ctr">
            <a:lnSpc>
              <a:spcPct val="100000"/>
            </a:lnSpc>
          </a:pPr>
          <a:r>
            <a:rPr b="1" lang="en-IN" sz="1100">
              <a:solidFill>
                <a:srgbClr val="000000"/>
              </a:solidFill>
              <a:latin typeface="Gill Sans MT"/>
            </a:rPr>
            <a:t>Adjust as Needed</a:t>
          </a:r>
          <a:endParaRPr/>
        </a:p>
      </xdr:txBody>
    </xdr:sp>
    <xdr:clientData/>
  </xdr:twoCellAnchor>
  <xdr:twoCellAnchor editAs="oneCell">
    <xdr:from>
      <xdr:col>4</xdr:col>
      <xdr:colOff>767880</xdr:colOff>
      <xdr:row>25</xdr:row>
      <xdr:rowOff>88200</xdr:rowOff>
    </xdr:from>
    <xdr:to>
      <xdr:col>7</xdr:col>
      <xdr:colOff>491400</xdr:colOff>
      <xdr:row>33</xdr:row>
      <xdr:rowOff>27000</xdr:rowOff>
    </xdr:to>
    <xdr:sp>
      <xdr:nvSpPr>
        <xdr:cNvPr id="4" name="CustomShape 1"/>
        <xdr:cNvSpPr/>
      </xdr:nvSpPr>
      <xdr:spPr>
        <a:xfrm>
          <a:off x="6636240" y="6283080"/>
          <a:ext cx="3427560" cy="1767600"/>
        </a:xfrm>
        <a:prstGeom prst="rect">
          <a:avLst/>
        </a:prstGeom>
        <a:solidFill>
          <a:srgbClr val="ffffff"/>
        </a:solidFill>
        <a:ln w="9360">
          <a:solidFill>
            <a:srgbClr val="bcbcbc"/>
          </a:solidFill>
          <a:round/>
        </a:ln>
      </xdr:spPr>
      <xdr:txBody>
        <a:bodyPr lIns="90000" rIns="90000" tIns="45000" bIns="45000"/>
        <a:p>
          <a:r>
            <a:rPr lang="en-IN" sz="2000">
              <a:solidFill>
                <a:srgbClr val="000000"/>
              </a:solidFill>
              <a:latin typeface="Gill Sans MT"/>
            </a:rPr>
            <a:t>Need help starting your business? Visit our website:</a:t>
          </a:r>
          <a:endParaRPr/>
        </a:p>
        <a:p>
          <a:endParaRPr/>
        </a:p>
        <a:p>
          <a:r>
            <a:rPr lang="en-IN" sz="1500" u="sng">
              <a:solidFill>
                <a:srgbClr val="30a1ff"/>
              </a:solidFill>
              <a:latin typeface="Gill Sans MT"/>
            </a:rPr>
            <a:t>score.org/startyourbusiness</a:t>
          </a:r>
          <a:endParaRPr/>
        </a:p>
        <a:p>
          <a:endParaRPr/>
        </a:p>
        <a:p>
          <a:r>
            <a:rPr lang="en-IN" sz="1100">
              <a:solidFill>
                <a:srgbClr val="000000"/>
              </a:solidFill>
              <a:latin typeface="Calibri"/>
            </a:rPr>
            <a:t>                     </a:t>
          </a:r>
          <a:endParaRPr/>
        </a:p>
      </xdr:txBody>
    </xdr:sp>
    <xdr:clientData/>
  </xdr:twoCellAnchor>
  <xdr:twoCellAnchor editAs="absolute">
    <xdr:from>
      <xdr:col>4</xdr:col>
      <xdr:colOff>756720</xdr:colOff>
      <xdr:row>16</xdr:row>
      <xdr:rowOff>206280</xdr:rowOff>
    </xdr:from>
    <xdr:to>
      <xdr:col>7</xdr:col>
      <xdr:colOff>480240</xdr:colOff>
      <xdr:row>24</xdr:row>
      <xdr:rowOff>145080</xdr:rowOff>
    </xdr:to>
    <xdr:sp>
      <xdr:nvSpPr>
        <xdr:cNvPr id="5" name="CustomShape 1"/>
        <xdr:cNvSpPr/>
      </xdr:nvSpPr>
      <xdr:spPr>
        <a:xfrm>
          <a:off x="6625080" y="4343760"/>
          <a:ext cx="3427560" cy="1767600"/>
        </a:xfrm>
        <a:prstGeom prst="rect">
          <a:avLst/>
        </a:prstGeom>
        <a:solidFill>
          <a:srgbClr val="ffffff"/>
        </a:solidFill>
        <a:ln w="9360">
          <a:solidFill>
            <a:srgbClr val="bcbcbc"/>
          </a:solidFill>
          <a:round/>
        </a:ln>
      </xdr:spPr>
      <xdr:txBody>
        <a:bodyPr lIns="90000" rIns="90000" tIns="45000" bIns="45000"/>
        <a:p>
          <a:r>
            <a:rPr lang="en-IN" sz="2000">
              <a:solidFill>
                <a:srgbClr val="000000"/>
              </a:solidFill>
              <a:latin typeface="Gill Sans MT"/>
            </a:rPr>
            <a:t>Need to make the numbers bigger? </a:t>
          </a:r>
          <a:r>
            <a:rPr lang="en-IN" sz="1100">
              <a:solidFill>
                <a:srgbClr val="000000"/>
              </a:solidFill>
              <a:latin typeface="Gill Sans MT"/>
            </a:rPr>
            <a:t>Increase the magnification. This will either be located in the lower right-hand corner, or in the Functions bar at the top of the page.  </a:t>
          </a:r>
          <a:endParaRPr/>
        </a:p>
        <a:p>
          <a:endParaRPr/>
        </a:p>
        <a:p>
          <a:endParaRPr/>
        </a:p>
        <a:p>
          <a:r>
            <a:rPr lang="en-IN" sz="1100">
              <a:solidFill>
                <a:srgbClr val="000000"/>
              </a:solidFill>
              <a:latin typeface="Calibri"/>
            </a:rPr>
            <a:t>                     </a:t>
          </a:r>
          <a:endParaRPr/>
        </a:p>
      </xdr:txBody>
    </xdr:sp>
    <xdr:clientData/>
  </xdr:twoCellAnchor>
  <xdr:twoCellAnchor editAs="absolute">
    <xdr:from>
      <xdr:col>4</xdr:col>
      <xdr:colOff>845280</xdr:colOff>
      <xdr:row>22</xdr:row>
      <xdr:rowOff>129960</xdr:rowOff>
    </xdr:from>
    <xdr:to>
      <xdr:col>7</xdr:col>
      <xdr:colOff>411840</xdr:colOff>
      <xdr:row>24</xdr:row>
      <xdr:rowOff>68760</xdr:rowOff>
    </xdr:to>
    <xdr:pic>
      <xdr:nvPicPr>
        <xdr:cNvPr id="6" name="Picture 5" descr=""/>
        <xdr:cNvPicPr/>
      </xdr:nvPicPr>
      <xdr:blipFill>
        <a:blip r:embed="rId1"/>
        <a:stretch>
          <a:fillRect/>
        </a:stretch>
      </xdr:blipFill>
      <xdr:spPr>
        <a:xfrm>
          <a:off x="6713640" y="5639040"/>
          <a:ext cx="3270600" cy="396000"/>
        </a:xfrm>
        <a:prstGeom prst="rect">
          <a:avLst/>
        </a:prstGeom>
        <a:ln>
          <a:noFill/>
        </a:ln>
      </xdr:spPr>
    </xdr:pic>
    <xdr:clientData/>
  </xdr:twoCellAnchor>
  <xdr:twoCellAnchor editAs="absolute">
    <xdr:from>
      <xdr:col>6</xdr:col>
      <xdr:colOff>45000</xdr:colOff>
      <xdr:row>21</xdr:row>
      <xdr:rowOff>127080</xdr:rowOff>
    </xdr:from>
    <xdr:to>
      <xdr:col>7</xdr:col>
      <xdr:colOff>334080</xdr:colOff>
      <xdr:row>23</xdr:row>
      <xdr:rowOff>55800</xdr:rowOff>
    </xdr:to>
    <xdr:sp>
      <xdr:nvSpPr>
        <xdr:cNvPr id="7" name="CustomShape 1"/>
        <xdr:cNvSpPr/>
      </xdr:nvSpPr>
      <xdr:spPr>
        <a:xfrm rot="1000800">
          <a:off x="8749440" y="5554080"/>
          <a:ext cx="1078920" cy="385920"/>
        </a:xfrm>
        <a:prstGeom prst="rightArrow">
          <a:avLst>
            <a:gd name="adj1" fmla="val 50000"/>
            <a:gd name="adj2" fmla="val 50000"/>
          </a:avLst>
        </a:prstGeom>
        <a:gradFill>
          <a:gsLst>
            <a:gs pos="0">
              <a:srgbClr val="67ac34"/>
            </a:gs>
            <a:gs pos="100000">
              <a:srgbClr val="bdf2a5"/>
            </a:gs>
          </a:gsLst>
          <a:lin ang="14892000"/>
        </a:gradFill>
        <a:ln w="9360">
          <a:solidFill>
            <a:srgbClr val="679d3e"/>
          </a:solidFill>
          <a:round/>
        </a:ln>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772920</xdr:colOff>
      <xdr:row>44</xdr:row>
      <xdr:rowOff>27720</xdr:rowOff>
    </xdr:from>
    <xdr:to>
      <xdr:col>5</xdr:col>
      <xdr:colOff>1058400</xdr:colOff>
      <xdr:row>50</xdr:row>
      <xdr:rowOff>172080</xdr:rowOff>
    </xdr:to>
    <xdr:sp>
      <xdr:nvSpPr>
        <xdr:cNvPr id="8" name="CustomShape 1"/>
        <xdr:cNvSpPr/>
      </xdr:nvSpPr>
      <xdr:spPr>
        <a:xfrm>
          <a:off x="6512400" y="9482040"/>
          <a:ext cx="3189960" cy="1439640"/>
        </a:xfrm>
        <a:prstGeom prst="rect">
          <a:avLst/>
        </a:prstGeom>
        <a:noFill/>
        <a:ln w="57240">
          <a:solidFill>
            <a:srgbClr val="44c8f5"/>
          </a:solidFill>
          <a:miter/>
        </a:ln>
      </xdr:spPr>
      <xdr:txBody>
        <a:bodyPr tIns="91440" bIns="91440" anchor="ctr"/>
        <a:p>
          <a:pPr>
            <a:lnSpc>
              <a:spcPct val="100000"/>
            </a:lnSpc>
          </a:pPr>
          <a:r>
            <a:rPr lang="en-IN" sz="1100">
              <a:solidFill>
                <a:srgbClr val="000000"/>
              </a:solidFill>
              <a:latin typeface="Gill Sans MT"/>
            </a:rPr>
            <a:t>Note: For existing businesses, this should be the "bucket"  of cash plus receivables that will be turned into cash, minus payables that will be paid out in cash in the near term (i.e. in the first months of the plan)</a:t>
          </a:r>
          <a:r>
            <a:rPr lang="en-IN" sz="1100">
              <a:solidFill>
                <a:srgbClr val="000000"/>
              </a:solidFill>
              <a:latin typeface="Gill Sans MT"/>
            </a:rPr>
            <a:t> </a:t>
          </a:r>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4</xdr:col>
      <xdr:colOff>40680</xdr:colOff>
      <xdr:row>0</xdr:row>
      <xdr:rowOff>165960</xdr:rowOff>
    </xdr:from>
    <xdr:to>
      <xdr:col>9</xdr:col>
      <xdr:colOff>380160</xdr:colOff>
      <xdr:row>7</xdr:row>
      <xdr:rowOff>39240</xdr:rowOff>
    </xdr:to>
    <xdr:sp>
      <xdr:nvSpPr>
        <xdr:cNvPr id="9" name="CustomShape 1"/>
        <xdr:cNvSpPr/>
      </xdr:nvSpPr>
      <xdr:spPr>
        <a:xfrm>
          <a:off x="6857280" y="165960"/>
          <a:ext cx="4439160" cy="1503720"/>
        </a:xfrm>
        <a:prstGeom prst="rect">
          <a:avLst/>
        </a:prstGeom>
        <a:noFill/>
        <a:ln w="57240">
          <a:solidFill>
            <a:srgbClr val="44c8f5"/>
          </a:solidFill>
          <a:round/>
        </a:ln>
      </xdr:spPr>
      <xdr:txBody>
        <a:bodyPr lIns="90000" rIns="90000" tIns="45000" bIns="45000"/>
        <a:p>
          <a:endParaRPr/>
        </a:p>
        <a:p>
          <a:r>
            <a:rPr lang="en-IN" sz="900">
              <a:solidFill>
                <a:srgbClr val="000000"/>
              </a:solidFill>
              <a:latin typeface="Gill Sans MT"/>
            </a:rPr>
            <a:t>This sheet will populate based on information in the year 1 Sales Forecast.</a:t>
          </a:r>
          <a:endParaRPr/>
        </a:p>
        <a:p>
          <a:endParaRPr/>
        </a:p>
        <a:p>
          <a:r>
            <a:rPr lang="en-IN" sz="900">
              <a:solidFill>
                <a:srgbClr val="000000"/>
              </a:solidFill>
              <a:latin typeface="Gill Sans MT"/>
            </a:rPr>
            <a:t>The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a:p>
        <a:p>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484200</xdr:colOff>
      <xdr:row>1</xdr:row>
      <xdr:rowOff>111960</xdr:rowOff>
    </xdr:from>
    <xdr:to>
      <xdr:col>14</xdr:col>
      <xdr:colOff>759960</xdr:colOff>
      <xdr:row>4</xdr:row>
      <xdr:rowOff>19080</xdr:rowOff>
    </xdr:to>
    <xdr:sp>
      <xdr:nvSpPr>
        <xdr:cNvPr id="10" name="CustomShape 1"/>
        <xdr:cNvSpPr/>
      </xdr:nvSpPr>
      <xdr:spPr>
        <a:xfrm>
          <a:off x="5186160" y="286920"/>
          <a:ext cx="9795600" cy="577800"/>
        </a:xfrm>
        <a:prstGeom prst="rect">
          <a:avLst/>
        </a:prstGeom>
        <a:solidFill>
          <a:srgbClr val="ffffff"/>
        </a:solidFill>
        <a:ln w="57240">
          <a:solidFill>
            <a:srgbClr val="44c8f5"/>
          </a:solidFill>
          <a:round/>
        </a:ln>
      </xdr:spPr>
      <xdr:txBody>
        <a:bodyPr lIns="90000" rIns="90000" tIns="45000" bIns="45000"/>
        <a:p>
          <a:r>
            <a:rPr lang="en-IN" sz="900">
              <a:solidFill>
                <a:srgbClr val="000000"/>
              </a:solidFill>
              <a:latin typeface="Gill Sans MT"/>
            </a:rPr>
            <a:t>NOTE: To only view the annual total side-by-side, highlight columns C through N</a:t>
          </a:r>
          <a:endParaRPr/>
        </a:p>
        <a:p>
          <a:r>
            <a:rPr lang="en-IN" sz="900">
              <a:solidFill>
                <a:srgbClr val="000000"/>
              </a:solidFill>
              <a:latin typeface="Gill Sans MT"/>
            </a:rPr>
            <a:t> </a:t>
          </a:r>
          <a:r>
            <a:rPr lang="en-IN" sz="900">
              <a:solidFill>
                <a:srgbClr val="000000"/>
              </a:solidFill>
              <a:latin typeface="Gill Sans MT"/>
            </a:rPr>
            <a:t>and right-click. Then select "Hide". Use the same procedure to Hide columns P through AA. To show them again, highlight columns B, O and AB, right-click and select "Unhide". </a:t>
          </a:r>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514080</xdr:colOff>
      <xdr:row>8</xdr:row>
      <xdr:rowOff>1080</xdr:rowOff>
    </xdr:from>
    <xdr:to>
      <xdr:col>7</xdr:col>
      <xdr:colOff>249480</xdr:colOff>
      <xdr:row>19</xdr:row>
      <xdr:rowOff>30600</xdr:rowOff>
    </xdr:to>
    <xdr:sp>
      <xdr:nvSpPr>
        <xdr:cNvPr id="11" name="CustomShape 1"/>
        <xdr:cNvSpPr/>
      </xdr:nvSpPr>
      <xdr:spPr>
        <a:xfrm>
          <a:off x="6076440" y="1410480"/>
          <a:ext cx="3490200" cy="2961360"/>
        </a:xfrm>
        <a:prstGeom prst="rect">
          <a:avLst/>
        </a:prstGeom>
        <a:noFill/>
        <a:ln w="57240">
          <a:solidFill>
            <a:srgbClr val="44c8f5"/>
          </a:solidFill>
          <a:miter/>
        </a:ln>
      </xdr:spPr>
      <xdr:txBody>
        <a:bodyPr lIns="27360" rIns="0" tIns="23040" bIns="0"/>
        <a:p>
          <a:pPr>
            <a:lnSpc>
              <a:spcPct val="100000"/>
            </a:lnSpc>
          </a:pPr>
          <a:r>
            <a:rPr b="1" lang="en-IN" sz="900">
              <a:solidFill>
                <a:srgbClr val="000000"/>
              </a:solidFill>
              <a:latin typeface="Gill Sans MT"/>
            </a:rPr>
            <a:t>Breakeven Sales Level</a:t>
          </a:r>
          <a:endParaRPr/>
        </a:p>
        <a:p>
          <a:pPr>
            <a:lnSpc>
              <a:spcPct val="100000"/>
            </a:lnSpc>
          </a:pPr>
          <a:endParaRPr/>
        </a:p>
        <a:p>
          <a:pPr>
            <a:lnSpc>
              <a:spcPct val="100000"/>
            </a:lnSpc>
          </a:pPr>
          <a:r>
            <a:rPr lang="en-IN" sz="900">
              <a:solidFill>
                <a:srgbClr val="000000"/>
              </a:solidFill>
              <a:latin typeface="Gill Sans MT"/>
            </a:rPr>
            <a:t>The breakeven sales level represents the number of units that must be sold in order to break even. This means that revenues are equal to expenses. Any units sold beyond this quantity will allow the company to generate net income.</a:t>
          </a:r>
          <a:endParaRPr/>
        </a:p>
        <a:p>
          <a:pPr>
            <a:lnSpc>
              <a:spcPct val="100000"/>
            </a:lnSpc>
          </a:pPr>
          <a:endParaRPr/>
        </a:p>
        <a:p>
          <a:pPr>
            <a:lnSpc>
              <a:spcPct val="100000"/>
            </a:lnSpc>
          </a:pPr>
          <a:r>
            <a:rPr lang="en-IN" sz="900">
              <a:solidFill>
                <a:srgbClr val="000000"/>
              </a:solidFill>
              <a:latin typeface="Gill Sans MT"/>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endParaRPr/>
        </a:p>
        <a:p>
          <a:pPr>
            <a:lnSpc>
              <a:spcPct val="100000"/>
            </a:lnSpc>
          </a:pPr>
          <a:endParaRPr/>
        </a:p>
        <a:p>
          <a:pPr>
            <a:lnSpc>
              <a:spcPct val="100000"/>
            </a:lnSpc>
          </a:pPr>
          <a:r>
            <a:rPr lang="en-IN" sz="900">
              <a:solidFill>
                <a:srgbClr val="000000"/>
              </a:solidFill>
              <a:latin typeface="Gill Sans MT"/>
            </a:rPr>
            <a:t>Equation:</a:t>
          </a:r>
          <a:endParaRPr/>
        </a:p>
        <a:p>
          <a:pPr>
            <a:lnSpc>
              <a:spcPct val="100000"/>
            </a:lnSpc>
          </a:pPr>
          <a:endParaRPr/>
        </a:p>
        <a:p>
          <a:pPr>
            <a:lnSpc>
              <a:spcPct val="100000"/>
            </a:lnSpc>
          </a:pPr>
          <a:r>
            <a:rPr lang="en-IN" sz="900">
              <a:solidFill>
                <a:srgbClr val="000000"/>
              </a:solidFill>
              <a:latin typeface="Gill Sans MT"/>
            </a:rPr>
            <a:t>Breakeven Point = Total Fixed Costs/ (Gross Margin/Total Sales)</a:t>
          </a:r>
          <a:endParaRPr/>
        </a:p>
        <a:p>
          <a:pPr>
            <a:lnSpc>
              <a:spcPct val="100000"/>
            </a:lnSpc>
          </a:pPr>
          <a:endParaRPr/>
        </a:p>
        <a:p>
          <a:pPr>
            <a:lnSpc>
              <a:spcPct val="100000"/>
            </a:lnSpc>
          </a:pPr>
          <a:endParaRPr/>
        </a:p>
        <a:p>
          <a:pPr>
            <a:lnSpc>
              <a:spcPct val="100000"/>
            </a:lnSpc>
          </a:pPr>
          <a:endParaRPr/>
        </a:p>
        <a:p>
          <a:pPr>
            <a:lnSpc>
              <a:spcPct val="100000"/>
            </a:lnSpc>
          </a:pPr>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96480</xdr:colOff>
      <xdr:row>5</xdr:row>
      <xdr:rowOff>73800</xdr:rowOff>
    </xdr:from>
    <xdr:to>
      <xdr:col>8</xdr:col>
      <xdr:colOff>1079640</xdr:colOff>
      <xdr:row>17</xdr:row>
      <xdr:rowOff>135720</xdr:rowOff>
    </xdr:to>
    <xdr:sp>
      <xdr:nvSpPr>
        <xdr:cNvPr id="12" name="CustomShape 1"/>
        <xdr:cNvSpPr/>
      </xdr:nvSpPr>
      <xdr:spPr>
        <a:xfrm>
          <a:off x="10469160" y="950040"/>
          <a:ext cx="2543760" cy="2180160"/>
        </a:xfrm>
        <a:prstGeom prst="rect">
          <a:avLst/>
        </a:prstGeom>
        <a:noFill/>
        <a:ln w="57240">
          <a:solidFill>
            <a:srgbClr val="44c8f5"/>
          </a:solidFill>
          <a:round/>
        </a:ln>
      </xdr:spPr>
      <xdr:txBody>
        <a:bodyPr lIns="90000" rIns="90000" tIns="45000" bIns="45000" anchor="ctr"/>
        <a:p>
          <a:r>
            <a:rPr lang="en-IN" sz="900">
              <a:solidFill>
                <a:srgbClr val="000000"/>
              </a:solidFill>
              <a:latin typeface="Gill Sans MT"/>
            </a:rPr>
            <a:t>This sheet shows some common financial ratios.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59400</xdr:colOff>
      <xdr:row>6</xdr:row>
      <xdr:rowOff>16560</xdr:rowOff>
    </xdr:from>
    <xdr:to>
      <xdr:col>7</xdr:col>
      <xdr:colOff>583560</xdr:colOff>
      <xdr:row>14</xdr:row>
      <xdr:rowOff>18720</xdr:rowOff>
    </xdr:to>
    <xdr:sp>
      <xdr:nvSpPr>
        <xdr:cNvPr id="13" name="CustomShape 1"/>
        <xdr:cNvSpPr/>
      </xdr:nvSpPr>
      <xdr:spPr>
        <a:xfrm>
          <a:off x="10897560" y="1068120"/>
          <a:ext cx="3408840" cy="1434600"/>
        </a:xfrm>
        <a:prstGeom prst="rect">
          <a:avLst/>
        </a:prstGeom>
        <a:noFill/>
        <a:ln w="57240">
          <a:solidFill>
            <a:srgbClr val="44c8f5"/>
          </a:solidFill>
          <a:round/>
        </a:ln>
      </xdr:spPr>
      <xdr:txBody>
        <a:bodyPr lIns="90000" rIns="90000" tIns="45000" bIns="45000" anchor="ctr"/>
        <a:p>
          <a:r>
            <a:rPr lang="en-IN" sz="900">
              <a:solidFill>
                <a:srgbClr val="000000"/>
              </a:solidFill>
              <a:latin typeface="Gill Sans MT"/>
            </a:rPr>
            <a:t>This sheet performs a few tests on your numbers to see if they seem within certain reasonable ranges. Remember, no computer can tell whether your projections are truly well-constructed, only a human can do that. But these tests can at least look for values that are critically out of range. </a:t>
          </a:r>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1.xml.rels><?xml version="1.0" encoding="UTF-8"?>
<Relationships xmlns="http://schemas.openxmlformats.org/package/2006/relationships"><Relationship Id="rId1" Type="http://schemas.openxmlformats.org/officeDocument/2006/relationships/drawing" Target="../drawings/drawing4.xml"/>
</Relationships>
</file>

<file path=xl/worksheets/_rels/sheet15.xml.rels><?xml version="1.0" encoding="UTF-8"?>
<Relationships xmlns="http://schemas.openxmlformats.org/package/2006/relationships"><Relationship Id="rId1" Type="http://schemas.openxmlformats.org/officeDocument/2006/relationships/drawing" Target="../drawings/drawing5.xml"/>
</Relationships>
</file>

<file path=xl/worksheets/_rels/sheet16.xml.rels><?xml version="1.0" encoding="UTF-8"?>
<Relationships xmlns="http://schemas.openxmlformats.org/package/2006/relationships"><Relationship Id="rId1" Type="http://schemas.openxmlformats.org/officeDocument/2006/relationships/drawing" Target="../drawings/drawing6.xml"/>
</Relationships>
</file>

<file path=xl/worksheets/_rels/sheet17.xml.rels><?xml version="1.0" encoding="UTF-8"?>
<Relationships xmlns="http://schemas.openxmlformats.org/package/2006/relationships"><Relationship Id="rId1" Type="http://schemas.openxmlformats.org/officeDocument/2006/relationships/drawing" Target="../drawings/drawing7.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1.vml"/>
</Relationships>
</file>

<file path=xl/worksheets/_rels/sheet6.xml.rels><?xml version="1.0" encoding="UTF-8"?>
<Relationships xmlns="http://schemas.openxmlformats.org/package/2006/relationships"><Relationship Id="rId1" Type="http://schemas.openxmlformats.org/officeDocument/2006/relationships/drawing" Target="../drawings/drawing3.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filterMode="false">
    <tabColor rgb="FFF89E53"/>
    <pageSetUpPr fitToPage="true"/>
  </sheetPr>
  <dimension ref="A1:P35"/>
  <sheetViews>
    <sheetView windowProtection="false" showFormulas="false" showGridLines="false" showRowColHeaders="true" showZeros="true" rightToLeft="false" tabSelected="false" showOutlineSymbols="true" defaultGridColor="true" view="normal" topLeftCell="A58" colorId="64" zoomScale="80" zoomScaleNormal="80" zoomScalePageLayoutView="100" workbookViewId="0">
      <selection pane="topLeft" activeCell="C6" activeCellId="0" sqref="C6"/>
    </sheetView>
  </sheetViews>
  <sheetFormatPr defaultRowHeight="18"/>
  <cols>
    <col collapsed="false" hidden="false" max="1" min="1" style="1" width="5.33603238866397"/>
    <col collapsed="false" hidden="false" max="2" min="2" style="1" width="10.995951417004"/>
    <col collapsed="false" hidden="false" max="3" min="3" style="1" width="28"/>
    <col collapsed="false" hidden="false" max="4" min="4" style="1" width="21.668016194332"/>
    <col collapsed="false" hidden="false" max="5" min="5" style="1" width="17.331983805668"/>
    <col collapsed="false" hidden="false" max="6" min="6" style="1" width="15.4412955465587"/>
    <col collapsed="false" hidden="false" max="7" min="7" style="1" width="8.88259109311741"/>
    <col collapsed="false" hidden="false" max="8" min="8" style="1" width="9.66396761133603"/>
    <col collapsed="false" hidden="false" max="11" min="9" style="1" width="8.88259109311741"/>
    <col collapsed="false" hidden="false" max="12" min="12" style="1" width="19.1093117408907"/>
    <col collapsed="false" hidden="false" max="13" min="13" style="1" width="13.4412955465587"/>
    <col collapsed="false" hidden="false" max="1025" min="14" style="1" width="8.88259109311741"/>
  </cols>
  <sheetData>
    <row r="1" customFormat="false" ht="43.8" hidden="false" customHeight="true" outlineLevel="0" collapsed="false">
      <c r="A1" s="0"/>
      <c r="B1" s="2"/>
      <c r="C1" s="2"/>
      <c r="D1" s="2"/>
      <c r="E1" s="2"/>
      <c r="F1" s="2"/>
      <c r="G1" s="2"/>
      <c r="H1" s="2"/>
      <c r="I1" s="2"/>
      <c r="J1" s="2"/>
      <c r="K1" s="2"/>
      <c r="L1" s="2"/>
      <c r="M1" s="2"/>
      <c r="N1" s="2"/>
      <c r="O1" s="0"/>
      <c r="P1" s="0"/>
    </row>
    <row r="2" customFormat="false" ht="28.8" hidden="false" customHeight="true" outlineLevel="0" collapsed="false">
      <c r="A2" s="0"/>
      <c r="B2" s="2"/>
      <c r="C2" s="2"/>
      <c r="D2" s="2"/>
      <c r="E2" s="2"/>
      <c r="F2" s="2"/>
      <c r="G2" s="2"/>
      <c r="H2" s="2"/>
      <c r="I2" s="2"/>
      <c r="J2" s="2"/>
      <c r="K2" s="2"/>
      <c r="L2" s="2"/>
      <c r="M2" s="2"/>
      <c r="N2" s="2"/>
      <c r="O2" s="0"/>
      <c r="P2" s="0"/>
    </row>
    <row r="3" customFormat="false" ht="18" hidden="false" customHeight="false" outlineLevel="0" collapsed="false">
      <c r="A3" s="0"/>
      <c r="B3" s="3" t="s">
        <v>0</v>
      </c>
      <c r="C3" s="3"/>
      <c r="D3" s="3"/>
      <c r="E3" s="3"/>
      <c r="F3" s="3"/>
      <c r="G3" s="0"/>
      <c r="H3" s="0"/>
      <c r="I3" s="0"/>
      <c r="J3" s="0"/>
      <c r="K3" s="0"/>
      <c r="L3" s="0"/>
      <c r="M3" s="0"/>
      <c r="N3" s="0"/>
      <c r="O3" s="0"/>
      <c r="P3" s="0"/>
    </row>
    <row r="4" customFormat="false" ht="18" hidden="false" customHeight="false" outlineLevel="0" collapsed="false">
      <c r="A4" s="0"/>
      <c r="B4" s="4"/>
      <c r="C4" s="0"/>
      <c r="D4" s="0"/>
      <c r="E4" s="0"/>
      <c r="F4" s="0"/>
      <c r="G4" s="5"/>
      <c r="H4" s="6"/>
      <c r="I4" s="6"/>
      <c r="J4" s="6"/>
      <c r="K4" s="6"/>
      <c r="L4" s="6"/>
      <c r="M4" s="7"/>
      <c r="N4" s="0"/>
      <c r="O4" s="0"/>
      <c r="P4" s="0"/>
    </row>
    <row r="5" customFormat="false" ht="18.6" hidden="false" customHeight="false" outlineLevel="0" collapsed="false">
      <c r="A5" s="0"/>
      <c r="B5" s="4"/>
      <c r="C5" s="8" t="s">
        <v>1</v>
      </c>
      <c r="D5" s="8" t="s">
        <v>2</v>
      </c>
      <c r="E5" s="8" t="s">
        <v>3</v>
      </c>
      <c r="F5" s="8" t="s">
        <v>4</v>
      </c>
      <c r="G5" s="5"/>
      <c r="H5" s="0"/>
      <c r="I5" s="6"/>
      <c r="J5" s="6"/>
      <c r="K5" s="6"/>
      <c r="L5" s="6"/>
      <c r="M5" s="7"/>
      <c r="N5" s="0"/>
      <c r="O5" s="0"/>
      <c r="P5" s="0"/>
    </row>
    <row r="6" customFormat="false" ht="18.6" hidden="false" customHeight="false" outlineLevel="0" collapsed="false">
      <c r="A6" s="0"/>
      <c r="B6" s="4"/>
      <c r="C6" s="9"/>
      <c r="D6" s="9"/>
      <c r="E6" s="10"/>
      <c r="F6" s="9"/>
      <c r="G6" s="5"/>
      <c r="H6" s="6"/>
      <c r="I6" s="6"/>
      <c r="J6" s="6"/>
      <c r="K6" s="6"/>
      <c r="L6" s="6"/>
      <c r="M6" s="7"/>
      <c r="N6" s="0"/>
      <c r="O6" s="0"/>
      <c r="P6" s="0"/>
    </row>
    <row r="7" customFormat="false" ht="18" hidden="false" customHeight="false" outlineLevel="0" collapsed="false">
      <c r="A7" s="0"/>
      <c r="B7" s="0"/>
      <c r="C7" s="0"/>
      <c r="D7" s="0"/>
      <c r="E7" s="0"/>
      <c r="F7" s="0"/>
      <c r="G7" s="0"/>
      <c r="H7" s="0"/>
      <c r="I7" s="0"/>
      <c r="J7" s="0"/>
      <c r="K7" s="0"/>
      <c r="L7" s="0"/>
      <c r="M7" s="0"/>
      <c r="N7" s="0"/>
      <c r="O7" s="0"/>
      <c r="P7" s="0"/>
    </row>
    <row r="8" customFormat="false" ht="18" hidden="false" customHeight="false" outlineLevel="0" collapsed="false">
      <c r="A8" s="0"/>
      <c r="B8" s="3" t="s">
        <v>5</v>
      </c>
      <c r="C8" s="3"/>
      <c r="D8" s="3"/>
      <c r="E8" s="3"/>
      <c r="F8" s="0"/>
      <c r="G8" s="0"/>
      <c r="H8" s="0"/>
      <c r="I8" s="0"/>
      <c r="J8" s="0"/>
      <c r="K8" s="0"/>
      <c r="L8" s="0"/>
      <c r="M8" s="0"/>
      <c r="N8" s="0"/>
      <c r="O8" s="0"/>
      <c r="P8" s="0"/>
    </row>
    <row r="9" customFormat="false" ht="18" hidden="false" customHeight="false" outlineLevel="0" collapsed="false">
      <c r="A9" s="0"/>
      <c r="B9" s="0"/>
      <c r="C9" s="0"/>
      <c r="D9" s="0"/>
      <c r="E9" s="0"/>
      <c r="F9" s="0"/>
      <c r="G9" s="0"/>
      <c r="H9" s="0"/>
      <c r="I9" s="0"/>
      <c r="J9" s="0"/>
      <c r="K9" s="0"/>
      <c r="L9" s="0"/>
      <c r="M9" s="0"/>
      <c r="N9" s="0"/>
      <c r="O9" s="0"/>
      <c r="P9" s="0"/>
    </row>
    <row r="10" customFormat="false" ht="18" hidden="false" customHeight="false" outlineLevel="0" collapsed="false">
      <c r="A10" s="0"/>
      <c r="B10" s="0"/>
      <c r="C10" s="0"/>
      <c r="D10" s="0"/>
      <c r="E10" s="0"/>
      <c r="F10" s="0"/>
      <c r="G10" s="0"/>
      <c r="H10" s="0"/>
      <c r="I10" s="0"/>
      <c r="J10" s="0"/>
      <c r="K10" s="0"/>
      <c r="L10" s="0"/>
      <c r="M10" s="0"/>
      <c r="N10" s="0"/>
      <c r="O10" s="0"/>
      <c r="P10" s="0"/>
    </row>
    <row r="11" customFormat="false" ht="18" hidden="false" customHeight="false" outlineLevel="0" collapsed="false">
      <c r="A11" s="0"/>
      <c r="B11" s="0"/>
      <c r="C11" s="0"/>
      <c r="D11" s="0"/>
      <c r="E11" s="0"/>
      <c r="F11" s="0"/>
      <c r="G11" s="0"/>
      <c r="H11" s="0"/>
      <c r="I11" s="0"/>
      <c r="J11" s="0"/>
      <c r="K11" s="0"/>
      <c r="L11" s="0"/>
      <c r="M11" s="0"/>
      <c r="N11" s="0"/>
      <c r="O11" s="0"/>
      <c r="P11" s="0"/>
    </row>
    <row r="12" customFormat="false" ht="18" hidden="false" customHeight="false" outlineLevel="0" collapsed="false">
      <c r="A12" s="0"/>
      <c r="B12" s="0"/>
      <c r="C12" s="0"/>
      <c r="D12" s="0"/>
      <c r="E12" s="0"/>
      <c r="F12" s="0"/>
      <c r="G12" s="0"/>
      <c r="H12" s="0"/>
      <c r="I12" s="0"/>
      <c r="J12" s="0"/>
      <c r="K12" s="0"/>
      <c r="L12" s="0"/>
      <c r="M12" s="0"/>
      <c r="N12" s="0"/>
      <c r="O12" s="0"/>
      <c r="P12" s="0"/>
    </row>
    <row r="13" customFormat="false" ht="18" hidden="false" customHeight="false" outlineLevel="0" collapsed="false">
      <c r="A13" s="0"/>
      <c r="B13" s="0"/>
      <c r="C13" s="0"/>
      <c r="D13" s="0"/>
      <c r="E13" s="0"/>
      <c r="F13" s="0"/>
      <c r="G13" s="0"/>
      <c r="H13" s="0"/>
      <c r="I13" s="0"/>
      <c r="J13" s="0"/>
      <c r="K13" s="0"/>
      <c r="L13" s="0"/>
      <c r="M13" s="0"/>
      <c r="N13" s="0"/>
      <c r="O13" s="0"/>
      <c r="P13" s="0"/>
    </row>
    <row r="14" customFormat="false" ht="18" hidden="false" customHeight="false" outlineLevel="0" collapsed="false">
      <c r="A14" s="0"/>
      <c r="B14" s="0"/>
      <c r="C14" s="0"/>
      <c r="D14" s="0"/>
      <c r="E14" s="0"/>
      <c r="F14" s="0"/>
      <c r="G14" s="0"/>
      <c r="H14" s="0"/>
      <c r="I14" s="0"/>
      <c r="J14" s="0"/>
      <c r="K14" s="0"/>
      <c r="L14" s="0"/>
      <c r="M14" s="0"/>
      <c r="N14" s="0"/>
      <c r="O14" s="0"/>
      <c r="P14" s="0"/>
    </row>
    <row r="15" customFormat="false" ht="18" hidden="false" customHeight="false" outlineLevel="0" collapsed="false">
      <c r="A15" s="0"/>
      <c r="B15" s="0"/>
      <c r="C15" s="0"/>
      <c r="D15" s="0"/>
      <c r="E15" s="0"/>
      <c r="F15" s="0"/>
      <c r="G15" s="0"/>
      <c r="H15" s="0"/>
      <c r="I15" s="0"/>
      <c r="J15" s="0"/>
      <c r="K15" s="0"/>
      <c r="L15" s="0"/>
      <c r="M15" s="0"/>
      <c r="N15" s="0"/>
      <c r="O15" s="0"/>
      <c r="P15" s="0"/>
    </row>
    <row r="16" customFormat="false" ht="18" hidden="false" customHeight="false" outlineLevel="0" collapsed="false">
      <c r="A16" s="0"/>
      <c r="B16" s="0"/>
      <c r="C16" s="0"/>
      <c r="D16" s="0"/>
      <c r="E16" s="0"/>
      <c r="F16" s="0"/>
      <c r="G16" s="0"/>
      <c r="H16" s="0"/>
      <c r="I16" s="0"/>
      <c r="J16" s="0"/>
      <c r="K16" s="0"/>
      <c r="L16" s="0"/>
      <c r="M16" s="0"/>
      <c r="N16" s="0"/>
      <c r="O16" s="0"/>
      <c r="P16" s="0"/>
    </row>
    <row r="17" customFormat="false" ht="18" hidden="false" customHeight="false" outlineLevel="0" collapsed="false">
      <c r="A17" s="0"/>
      <c r="B17" s="0"/>
      <c r="C17" s="0"/>
      <c r="D17" s="0"/>
      <c r="E17" s="0"/>
      <c r="F17" s="0"/>
      <c r="G17" s="0"/>
      <c r="H17" s="0"/>
      <c r="I17" s="0"/>
      <c r="J17" s="0"/>
      <c r="K17" s="0"/>
      <c r="L17" s="0"/>
      <c r="M17" s="0"/>
      <c r="N17" s="0"/>
      <c r="O17" s="0"/>
      <c r="P17" s="0"/>
    </row>
    <row r="18" customFormat="false" ht="18" hidden="false" customHeight="false" outlineLevel="0" collapsed="false">
      <c r="A18" s="0"/>
      <c r="B18" s="0"/>
      <c r="C18" s="0"/>
      <c r="D18" s="0"/>
      <c r="E18" s="0"/>
      <c r="F18" s="0"/>
      <c r="G18" s="0"/>
      <c r="H18" s="0"/>
      <c r="I18" s="0"/>
      <c r="J18" s="0"/>
      <c r="K18" s="0"/>
      <c r="L18" s="0"/>
      <c r="M18" s="0"/>
      <c r="N18" s="0"/>
      <c r="O18" s="0"/>
      <c r="P18" s="0"/>
    </row>
    <row r="19" customFormat="false" ht="18" hidden="false" customHeight="false" outlineLevel="0" collapsed="false">
      <c r="A19" s="0"/>
      <c r="B19" s="0"/>
      <c r="C19" s="0"/>
      <c r="D19" s="0"/>
      <c r="E19" s="0"/>
      <c r="F19" s="0"/>
      <c r="G19" s="0"/>
      <c r="H19" s="0"/>
      <c r="I19" s="0"/>
      <c r="J19" s="0"/>
      <c r="K19" s="0"/>
      <c r="L19" s="0"/>
      <c r="M19" s="0"/>
      <c r="N19" s="0"/>
      <c r="O19" s="0"/>
      <c r="P19" s="0"/>
    </row>
    <row r="20" customFormat="false" ht="18" hidden="false" customHeight="false" outlineLevel="0" collapsed="false">
      <c r="A20" s="0"/>
      <c r="B20" s="0"/>
      <c r="C20" s="0"/>
      <c r="D20" s="0"/>
      <c r="E20" s="0"/>
      <c r="F20" s="0"/>
      <c r="G20" s="0"/>
      <c r="H20" s="0"/>
      <c r="I20" s="0"/>
      <c r="J20" s="0"/>
      <c r="K20" s="0"/>
      <c r="L20" s="0"/>
      <c r="M20" s="0"/>
      <c r="N20" s="0"/>
      <c r="O20" s="0"/>
      <c r="P20" s="0"/>
    </row>
    <row r="21" customFormat="false" ht="18" hidden="false" customHeight="false" outlineLevel="0" collapsed="false">
      <c r="A21" s="0"/>
      <c r="B21" s="0"/>
      <c r="C21" s="0"/>
      <c r="D21" s="0"/>
      <c r="E21" s="0"/>
      <c r="F21" s="0"/>
      <c r="G21" s="0"/>
      <c r="H21" s="0"/>
      <c r="I21" s="0"/>
      <c r="J21" s="0"/>
      <c r="K21" s="0"/>
      <c r="L21" s="0"/>
      <c r="M21" s="0"/>
      <c r="N21" s="0"/>
      <c r="O21" s="0"/>
      <c r="P21" s="0"/>
    </row>
    <row r="22" customFormat="false" ht="18" hidden="false" customHeight="false" outlineLevel="0" collapsed="false">
      <c r="A22" s="0"/>
      <c r="B22" s="0"/>
      <c r="C22" s="0"/>
      <c r="D22" s="0"/>
      <c r="E22" s="0"/>
      <c r="F22" s="0"/>
      <c r="G22" s="0"/>
      <c r="H22" s="0"/>
      <c r="I22" s="0"/>
      <c r="J22" s="0"/>
      <c r="K22" s="0"/>
      <c r="L22" s="0"/>
      <c r="M22" s="0"/>
      <c r="N22" s="0"/>
      <c r="O22" s="0"/>
      <c r="P22" s="0"/>
    </row>
    <row r="23" customFormat="false" ht="18" hidden="false" customHeight="false" outlineLevel="0" collapsed="false">
      <c r="A23" s="0"/>
      <c r="B23" s="0"/>
      <c r="C23" s="0"/>
      <c r="D23" s="0"/>
      <c r="E23" s="0"/>
      <c r="F23" s="0"/>
      <c r="G23" s="0"/>
      <c r="H23" s="0"/>
      <c r="I23" s="0"/>
      <c r="J23" s="0"/>
      <c r="K23" s="0"/>
      <c r="L23" s="0"/>
      <c r="M23" s="0"/>
      <c r="N23" s="0"/>
      <c r="O23" s="0"/>
      <c r="P23" s="0"/>
    </row>
    <row r="24" customFormat="false" ht="18" hidden="false" customHeight="false" outlineLevel="0" collapsed="false">
      <c r="A24" s="0"/>
      <c r="B24" s="0"/>
      <c r="C24" s="0"/>
      <c r="D24" s="0"/>
      <c r="E24" s="0"/>
      <c r="F24" s="0"/>
      <c r="G24" s="0"/>
      <c r="H24" s="0"/>
      <c r="I24" s="0"/>
      <c r="J24" s="0"/>
      <c r="K24" s="0"/>
      <c r="L24" s="0"/>
      <c r="M24" s="0"/>
      <c r="N24" s="0"/>
      <c r="O24" s="0"/>
      <c r="P24" s="0"/>
    </row>
    <row r="25" customFormat="false" ht="18" hidden="false" customHeight="false" outlineLevel="0" collapsed="false">
      <c r="A25" s="0"/>
      <c r="B25" s="0"/>
      <c r="C25" s="0"/>
      <c r="D25" s="0"/>
      <c r="E25" s="0"/>
      <c r="F25" s="0"/>
      <c r="G25" s="0"/>
      <c r="H25" s="0"/>
      <c r="I25" s="0"/>
      <c r="J25" s="0"/>
      <c r="K25" s="0"/>
      <c r="L25" s="0"/>
      <c r="M25" s="0"/>
      <c r="N25" s="0"/>
      <c r="O25" s="0"/>
      <c r="P25" s="0"/>
    </row>
    <row r="26" customFormat="false" ht="18" hidden="false" customHeight="false" outlineLevel="0" collapsed="false">
      <c r="A26" s="0"/>
      <c r="B26" s="0"/>
      <c r="C26" s="0"/>
      <c r="D26" s="0"/>
      <c r="E26" s="0"/>
      <c r="F26" s="0"/>
      <c r="G26" s="0"/>
      <c r="H26" s="0"/>
      <c r="I26" s="0"/>
      <c r="J26" s="0"/>
      <c r="K26" s="0"/>
      <c r="L26" s="0"/>
      <c r="M26" s="0"/>
      <c r="N26" s="0"/>
      <c r="O26" s="0"/>
      <c r="P26" s="0"/>
    </row>
    <row r="27" customFormat="false" ht="18" hidden="false" customHeight="false" outlineLevel="0" collapsed="false">
      <c r="A27" s="0"/>
      <c r="B27" s="0"/>
      <c r="C27" s="0"/>
      <c r="D27" s="0"/>
      <c r="E27" s="0"/>
      <c r="F27" s="0"/>
      <c r="G27" s="0"/>
      <c r="H27" s="0"/>
      <c r="I27" s="0"/>
      <c r="J27" s="0"/>
      <c r="K27" s="0"/>
      <c r="L27" s="0"/>
      <c r="M27" s="0"/>
      <c r="N27" s="0"/>
      <c r="O27" s="0"/>
      <c r="P27" s="0"/>
    </row>
    <row r="28" customFormat="false" ht="18" hidden="false" customHeight="false" outlineLevel="0" collapsed="false">
      <c r="A28" s="0"/>
      <c r="B28" s="0"/>
      <c r="C28" s="0"/>
      <c r="D28" s="0"/>
      <c r="E28" s="0"/>
      <c r="F28" s="0"/>
      <c r="G28" s="0"/>
      <c r="H28" s="0"/>
      <c r="I28" s="0"/>
      <c r="J28" s="0"/>
      <c r="K28" s="0"/>
      <c r="L28" s="0"/>
      <c r="M28" s="0"/>
      <c r="N28" s="0"/>
      <c r="O28" s="0"/>
      <c r="P28" s="0"/>
    </row>
    <row r="29" customFormat="false" ht="18" hidden="false" customHeight="false" outlineLevel="0" collapsed="false">
      <c r="A29" s="0"/>
      <c r="B29" s="0"/>
      <c r="C29" s="0"/>
      <c r="D29" s="0"/>
      <c r="E29" s="0"/>
      <c r="F29" s="0"/>
      <c r="G29" s="0"/>
      <c r="H29" s="0"/>
      <c r="I29" s="0"/>
      <c r="J29" s="0"/>
      <c r="K29" s="0"/>
    </row>
    <row r="30" customFormat="false" ht="18" hidden="false" customHeight="false" outlineLevel="0" collapsed="false">
      <c r="A30" s="0"/>
      <c r="B30" s="0"/>
      <c r="C30" s="0"/>
      <c r="D30" s="0"/>
      <c r="E30" s="0"/>
      <c r="F30" s="0"/>
      <c r="G30" s="0"/>
      <c r="H30" s="0"/>
      <c r="I30" s="0"/>
      <c r="J30" s="0"/>
      <c r="K30" s="0"/>
    </row>
    <row r="31" customFormat="false" ht="18" hidden="false" customHeight="false" outlineLevel="0" collapsed="false">
      <c r="A31" s="0"/>
      <c r="B31" s="0"/>
      <c r="C31" s="0"/>
      <c r="D31" s="0"/>
      <c r="E31" s="0"/>
      <c r="F31" s="0"/>
      <c r="G31" s="0"/>
      <c r="H31" s="0"/>
      <c r="I31" s="0"/>
      <c r="J31" s="0"/>
      <c r="K31" s="0"/>
    </row>
    <row r="32" customFormat="false" ht="18" hidden="false" customHeight="false" outlineLevel="0" collapsed="false">
      <c r="A32" s="11"/>
      <c r="B32" s="12"/>
      <c r="C32" s="13" t="n">
        <f aca="false">IF(ISBLANK(E6),-10000,MONTH(DATEVALUE(E6&amp;" 1")))</f>
        <v>-10000</v>
      </c>
      <c r="D32" s="12"/>
      <c r="E32" s="12"/>
      <c r="F32" s="12"/>
      <c r="G32" s="12"/>
      <c r="H32" s="12"/>
      <c r="I32" s="12"/>
      <c r="J32" s="12"/>
      <c r="K32" s="12"/>
      <c r="L32" s="12"/>
      <c r="M32" s="12"/>
    </row>
    <row r="33" customFormat="false" ht="18" hidden="false" customHeight="false" outlineLevel="0" collapsed="false">
      <c r="A33" s="11"/>
      <c r="B33" s="12"/>
      <c r="C33" s="13"/>
      <c r="D33" s="12"/>
      <c r="E33" s="12"/>
      <c r="F33" s="12"/>
      <c r="G33" s="12"/>
      <c r="H33" s="12"/>
      <c r="I33" s="12"/>
      <c r="J33" s="12"/>
      <c r="K33" s="12"/>
      <c r="L33" s="12"/>
      <c r="M33" s="12"/>
    </row>
    <row r="34" customFormat="false" ht="18" hidden="false" customHeight="false" outlineLevel="0" collapsed="false">
      <c r="A34" s="11"/>
      <c r="B34" s="12" t="str">
        <f aca="false">IF(Directions!$C$32&gt;0,CHOOSE(Directions!$C$32,"January","February","March","April","May","June","July","August","September","October","November","December"),"Month 1")</f>
        <v>Month 1</v>
      </c>
      <c r="C34" s="13" t="str">
        <f aca="false">IF(Directions!$C$32+1&gt;12,CHOOSE(Directions!$C$32+1-12,"January","February","March","April","May","June","July","August","September","October","November","December"),IF(Directions!$C$32&lt;0,"Month 2",(CHOOSE(Directions!$C$32+1,"January","February","March","April","May","June","July","August","September","October","November","December"))))</f>
        <v>Month 2</v>
      </c>
      <c r="D34" s="13" t="str">
        <f aca="false">IF(Directions!$C$32+2&gt;12,CHOOSE(Directions!$C$32+2-12,"January","February","March","April","May","June","July","August","September","October","November","December"),IF(Directions!$C$32&lt;0,"Month 3",CHOOSE(Directions!$C$32+2,"January","February","March","April","May","June","July","August","September","October","November","December")))</f>
        <v>Month 3</v>
      </c>
      <c r="E34" s="13" t="str">
        <f aca="false">IF(Directions!$C$32+3&gt;12,CHOOSE(Directions!$C$32+3-12,"January","February","March","April","May","June","July","August","September","October","November","December"),IF(Directions!$C$32&lt;0,"Month 4",CHOOSE(Directions!$C$32+3,"January","February","March","April","May","June","July","August","September","October","November","December")))</f>
        <v>Month 4</v>
      </c>
      <c r="F34" s="13" t="str">
        <f aca="false">IF(Directions!$C$32+4&gt;12,CHOOSE(Directions!$C$32+4-12,"January","February","March","April","May","June","July","August","September","October","November","December"),IF(Directions!$C$32&lt;0,"Month 5",CHOOSE(Directions!$C$32+4,"January","February","March","April","May","June","July","August","September","October","November","December")))</f>
        <v>Month 5</v>
      </c>
      <c r="G34" s="13" t="str">
        <f aca="false">IF(Directions!$C$32+5&gt;12,CHOOSE(Directions!$C$32+5-12,"January","February","March","April","May","June","July","August","September","October","November","December"),IF(Directions!$C$32&lt;0,"Month 6",CHOOSE(Directions!$C$32+5,"January","February","March","April","May","June","July","August","September","October","November","December")))</f>
        <v>Month 6</v>
      </c>
      <c r="H34" s="13" t="str">
        <f aca="false">IF(Directions!$C$32+6&gt;12,CHOOSE(Directions!$C$32+6-12,"January","February","March","April","May","June","July","August","September","October","November","December"),IF(Directions!$C$32&lt;0,"Month 7",CHOOSE(Directions!$C$32+6,"January","February","March","April","May","June","July","August","September","October","November","December")))</f>
        <v>Month 7</v>
      </c>
      <c r="I34" s="13" t="str">
        <f aca="false">IF(Directions!$C$32+7&gt;12,CHOOSE(Directions!$C$32+7-12,"January","February","March","April","May","June","July","August","September","October","November","December"),IF(Directions!$C$32&lt;0,"Month 8",CHOOSE(Directions!$C$32+7,"January","February","March","April","May","June","July","August","September","October","November","December")))</f>
        <v>Month 8</v>
      </c>
      <c r="J34" s="13" t="str">
        <f aca="false">IF(Directions!$C$32+8&gt;12,CHOOSE(Directions!$C$32+8-12,"January","February","March","April","May","June","July","August","September","October","November","December"),IF(Directions!$C$32&lt;0,"Month 9",CHOOSE(Directions!$C$32+8,"January","February","March","April","May","June","July","August","September","October","November","December")))</f>
        <v>Month 9</v>
      </c>
      <c r="K34" s="13" t="str">
        <f aca="false">IF(Directions!$C$32+9&gt;12,CHOOSE(Directions!$C$32+9-12,"January","February","March","April","May","June","July","August","September","October","November","December"),IF(Directions!$C$32&lt;0,"Month 10",CHOOSE(Directions!$C$32+9,"January","February","March","April","May","June","July","August","September","October","November","December")))</f>
        <v>Month 10</v>
      </c>
      <c r="L34" s="13" t="str">
        <f aca="false">IF(Directions!$C$32+10&gt;12,CHOOSE(Directions!$C$32+10-12,"January","February","March","April","May","June","July","August","September","October","November","December"),IF(Directions!$C$32&lt;0,"Month 11",CHOOSE(Directions!$C$32+10,"January","February","March","April","May","June","July","August","September","October","November","December")))</f>
        <v>Month 11</v>
      </c>
      <c r="M34" s="13" t="str">
        <f aca="false">IF(Directions!$C$32+11&gt;12,CHOOSE(Directions!$C$32+11-12,"January","February","March","April","May","June","July","August","September","October","November","December"),IF(Directions!$C$32&lt;0,"Month 12",CHOOSE(Directions!$C$32+11,"January","February","March","April","May","June","July","August","September","October","November","December")))</f>
        <v>Month 12</v>
      </c>
    </row>
    <row r="35" customFormat="false" ht="18" hidden="false" customHeight="false" outlineLevel="0" collapsed="false">
      <c r="A35" s="11"/>
      <c r="B35" s="14" t="s">
        <v>6</v>
      </c>
      <c r="C35" s="13"/>
      <c r="D35" s="11"/>
      <c r="E35" s="11"/>
      <c r="F35" s="11"/>
      <c r="G35" s="11"/>
      <c r="H35" s="11"/>
      <c r="I35" s="11"/>
      <c r="J35" s="11"/>
      <c r="K35" s="11"/>
      <c r="L35" s="11"/>
      <c r="M35" s="11"/>
    </row>
  </sheetData>
  <mergeCells count="2">
    <mergeCell ref="B3:F3"/>
    <mergeCell ref="B8:E8"/>
  </mergeCells>
  <conditionalFormatting sqref="C6:F6">
    <cfRule type="expression" priority="2" aboveAverage="0" equalAverage="0" bottom="0" percent="0" rank="0" text="" dxfId="0">
      <formula>LEN(TRIM(C6))=0</formula>
    </cfRule>
  </conditionalFormatting>
  <printOptions headings="false" gridLines="false" gridLinesSet="true" horizontalCentered="true" verticalCentered="false"/>
  <pageMargins left="0.25" right="0.25" top="0.75" bottom="0.75" header="0.511805555555555"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true"/>
  </sheetPr>
  <dimension ref="A1:S34"/>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D37" activeCellId="0" sqref="D37"/>
    </sheetView>
  </sheetViews>
  <sheetFormatPr defaultRowHeight="13.8"/>
  <cols>
    <col collapsed="false" hidden="false" max="1" min="1" style="95" width="11.5546558704453"/>
    <col collapsed="false" hidden="false" max="2" min="2" style="95" width="31.3279352226721"/>
    <col collapsed="false" hidden="false" max="10" min="3" style="93" width="9.66396761133603"/>
    <col collapsed="false" hidden="false" max="11" min="11" style="93" width="10.4412955465587"/>
    <col collapsed="false" hidden="false" max="14" min="12" style="93" width="9.66396761133603"/>
    <col collapsed="false" hidden="false" max="15" min="15" style="93" width="9.11336032388664"/>
    <col collapsed="false" hidden="false" max="16" min="16" style="93" width="14.331983805668"/>
    <col collapsed="false" hidden="false" max="17" min="17" style="95" width="5.88259109311741"/>
    <col collapsed="false" hidden="false" max="18" min="18" style="93" width="7.88259109311741"/>
    <col collapsed="false" hidden="false" max="1025" min="19" style="93" width="8.88259109311741"/>
  </cols>
  <sheetData>
    <row r="1" s="95" customFormat="true" ht="13.8" hidden="false" customHeight="false" outlineLevel="0" collapsed="false"/>
    <row r="2" s="93" customFormat="true" ht="13.8" hidden="false" customHeight="false" outlineLevel="0" collapsed="false">
      <c r="B2" s="316" t="s">
        <v>168</v>
      </c>
      <c r="C2" s="316"/>
      <c r="D2" s="0"/>
      <c r="E2" s="238"/>
      <c r="F2" s="0"/>
      <c r="G2" s="0"/>
      <c r="H2" s="238"/>
      <c r="I2" s="95"/>
      <c r="J2" s="95"/>
      <c r="K2" s="0"/>
      <c r="L2" s="0"/>
      <c r="M2" s="0"/>
      <c r="N2" s="95"/>
      <c r="O2" s="95"/>
      <c r="P2" s="317"/>
      <c r="Q2" s="317"/>
      <c r="R2" s="95"/>
      <c r="S2" s="95"/>
    </row>
    <row r="3" s="93" customFormat="true" ht="13.8" hidden="false" customHeight="false" outlineLevel="0" collapsed="false">
      <c r="B3" s="0"/>
      <c r="C3" s="95"/>
      <c r="D3" s="0"/>
      <c r="E3" s="95"/>
      <c r="F3" s="0"/>
      <c r="G3" s="0"/>
      <c r="H3" s="239"/>
      <c r="I3" s="95"/>
      <c r="J3" s="95"/>
      <c r="K3" s="0"/>
      <c r="L3" s="0"/>
      <c r="M3" s="0"/>
      <c r="N3" s="95"/>
      <c r="O3" s="95"/>
      <c r="P3" s="95"/>
      <c r="Q3" s="0"/>
      <c r="R3" s="95"/>
      <c r="S3" s="95"/>
    </row>
    <row r="4" s="93" customFormat="true" ht="13.8" hidden="false" customHeight="false" outlineLevel="0" collapsed="false">
      <c r="B4" s="318" t="s">
        <v>8</v>
      </c>
      <c r="C4" s="318" t="s">
        <v>9</v>
      </c>
      <c r="D4" s="0"/>
      <c r="E4" s="95"/>
      <c r="F4" s="0"/>
      <c r="G4" s="0"/>
      <c r="H4" s="239"/>
      <c r="I4" s="95"/>
      <c r="J4" s="95"/>
      <c r="K4" s="0"/>
      <c r="L4" s="0"/>
      <c r="M4" s="0"/>
      <c r="N4" s="95"/>
      <c r="O4" s="95"/>
      <c r="P4" s="95"/>
      <c r="Q4" s="0"/>
      <c r="R4" s="95"/>
      <c r="S4" s="95"/>
    </row>
    <row r="5" s="93" customFormat="true" ht="13.8" hidden="false" customHeight="false" outlineLevel="0" collapsed="false">
      <c r="B5" s="95" t="str">
        <f aca="false">IF(ISBLANK(Directions!C6), "Owner", Directions!C6)</f>
        <v>Owner</v>
      </c>
      <c r="C5" s="95" t="str">
        <f aca="false">IF(ISBLANK(Directions!D6), "Company 1", Directions!D6)</f>
        <v>Company 1</v>
      </c>
      <c r="D5" s="0"/>
      <c r="E5" s="95"/>
      <c r="F5" s="0"/>
      <c r="G5" s="0"/>
      <c r="H5" s="239"/>
      <c r="I5" s="95"/>
      <c r="J5" s="95"/>
      <c r="K5" s="0"/>
      <c r="L5" s="0"/>
      <c r="M5" s="0"/>
      <c r="N5" s="95"/>
      <c r="O5" s="95"/>
      <c r="P5" s="95"/>
      <c r="Q5" s="0"/>
      <c r="R5" s="95"/>
      <c r="S5" s="95"/>
    </row>
    <row r="6" customFormat="false" ht="13.8" hidden="false" customHeight="false" outlineLevel="0" collapsed="false">
      <c r="A6" s="0"/>
      <c r="B6" s="0"/>
      <c r="C6" s="0"/>
      <c r="D6" s="0"/>
      <c r="E6" s="0"/>
      <c r="F6" s="0"/>
      <c r="G6" s="0"/>
      <c r="H6" s="0"/>
      <c r="I6" s="0"/>
      <c r="J6" s="0"/>
      <c r="K6" s="0"/>
      <c r="L6" s="0"/>
      <c r="M6" s="0"/>
      <c r="N6" s="0"/>
      <c r="O6" s="0"/>
      <c r="P6" s="0"/>
      <c r="Q6" s="0"/>
    </row>
    <row r="7" s="93" customFormat="true" ht="14.4" hidden="false" customHeight="false" outlineLevel="0" collapsed="false">
      <c r="B7" s="104"/>
      <c r="C7" s="104" t="str">
        <f aca="false">'3a-SalesForecastYear1'!C16</f>
        <v>Month 1</v>
      </c>
      <c r="D7" s="104" t="str">
        <f aca="false">'3a-SalesForecastYear1'!D16</f>
        <v>Month 2</v>
      </c>
      <c r="E7" s="104" t="str">
        <f aca="false">'3a-SalesForecastYear1'!E16</f>
        <v>Month 3</v>
      </c>
      <c r="F7" s="104" t="str">
        <f aca="false">'3a-SalesForecastYear1'!F16</f>
        <v>Month 4</v>
      </c>
      <c r="G7" s="104" t="str">
        <f aca="false">'3a-SalesForecastYear1'!G16</f>
        <v>Month 5</v>
      </c>
      <c r="H7" s="104" t="str">
        <f aca="false">'3a-SalesForecastYear1'!H16</f>
        <v>Month 6</v>
      </c>
      <c r="I7" s="104" t="str">
        <f aca="false">'3a-SalesForecastYear1'!I16</f>
        <v>Month 7</v>
      </c>
      <c r="J7" s="104" t="str">
        <f aca="false">'3a-SalesForecastYear1'!J16</f>
        <v>Month 8</v>
      </c>
      <c r="K7" s="104" t="str">
        <f aca="false">'3a-SalesForecastYear1'!K16</f>
        <v>Month 9</v>
      </c>
      <c r="L7" s="104" t="str">
        <f aca="false">'3a-SalesForecastYear1'!L16</f>
        <v>Month 10</v>
      </c>
      <c r="M7" s="104" t="str">
        <f aca="false">'3a-SalesForecastYear1'!M16</f>
        <v>Month 11</v>
      </c>
      <c r="N7" s="104" t="str">
        <f aca="false">'3a-SalesForecastYear1'!N16</f>
        <v>Month 12</v>
      </c>
      <c r="O7" s="104" t="s">
        <v>39</v>
      </c>
      <c r="P7" s="95"/>
    </row>
    <row r="8" s="93" customFormat="true" ht="14.4" hidden="false" customHeight="false" outlineLevel="0" collapsed="false">
      <c r="B8" s="319" t="s">
        <v>169</v>
      </c>
      <c r="C8" s="314" t="n">
        <f aca="false">Working_Capital</f>
        <v>0</v>
      </c>
      <c r="D8" s="314" t="n">
        <f aca="false">C33</f>
        <v>0</v>
      </c>
      <c r="E8" s="314" t="n">
        <f aca="false">D33</f>
        <v>0</v>
      </c>
      <c r="F8" s="314" t="n">
        <f aca="false">E33</f>
        <v>0</v>
      </c>
      <c r="G8" s="314" t="n">
        <f aca="false">F33</f>
        <v>0</v>
      </c>
      <c r="H8" s="314" t="n">
        <f aca="false">G33</f>
        <v>0</v>
      </c>
      <c r="I8" s="314" t="n">
        <f aca="false">H33</f>
        <v>0</v>
      </c>
      <c r="J8" s="314" t="n">
        <f aca="false">I33</f>
        <v>0</v>
      </c>
      <c r="K8" s="314" t="n">
        <f aca="false">J33</f>
        <v>0</v>
      </c>
      <c r="L8" s="314" t="n">
        <f aca="false">K33</f>
        <v>0</v>
      </c>
      <c r="M8" s="314" t="n">
        <f aca="false">L33</f>
        <v>0</v>
      </c>
      <c r="N8" s="314" t="n">
        <f aca="false">M33</f>
        <v>0</v>
      </c>
      <c r="O8" s="320"/>
      <c r="P8" s="95"/>
    </row>
    <row r="9" s="93" customFormat="true" ht="13.8" hidden="false" customHeight="false" outlineLevel="0" collapsed="false">
      <c r="B9" s="321" t="s">
        <v>170</v>
      </c>
      <c r="C9" s="322"/>
      <c r="D9" s="322"/>
      <c r="E9" s="322"/>
      <c r="F9" s="322"/>
      <c r="G9" s="322"/>
      <c r="H9" s="322"/>
      <c r="I9" s="322"/>
      <c r="J9" s="322"/>
      <c r="K9" s="322"/>
      <c r="L9" s="322"/>
      <c r="M9" s="322"/>
      <c r="N9" s="322"/>
      <c r="O9" s="322"/>
      <c r="P9" s="95"/>
    </row>
    <row r="10" s="93" customFormat="true" ht="13.8" hidden="false" customHeight="false" outlineLevel="0" collapsed="false">
      <c r="B10" s="323" t="s">
        <v>171</v>
      </c>
      <c r="C10" s="153" t="n">
        <f aca="false">'3a-SalesForecastYear1'!C53*'4-AdditionalInputs'!$C$9</f>
        <v>0</v>
      </c>
      <c r="D10" s="153" t="n">
        <f aca="false">'3a-SalesForecastYear1'!D53*'4-AdditionalInputs'!$C$9</f>
        <v>0</v>
      </c>
      <c r="E10" s="153" t="n">
        <f aca="false">'3a-SalesForecastYear1'!E53*'4-AdditionalInputs'!$C$9</f>
        <v>0</v>
      </c>
      <c r="F10" s="153" t="n">
        <f aca="false">'3a-SalesForecastYear1'!F53*'4-AdditionalInputs'!$C$9</f>
        <v>0</v>
      </c>
      <c r="G10" s="153" t="n">
        <f aca="false">'3a-SalesForecastYear1'!G53*'4-AdditionalInputs'!$C$9</f>
        <v>0</v>
      </c>
      <c r="H10" s="153" t="n">
        <f aca="false">'3a-SalesForecastYear1'!H53*'4-AdditionalInputs'!$C$9</f>
        <v>0</v>
      </c>
      <c r="I10" s="153" t="n">
        <f aca="false">'3a-SalesForecastYear1'!I53*'4-AdditionalInputs'!$C$9</f>
        <v>0</v>
      </c>
      <c r="J10" s="153" t="n">
        <f aca="false">'3a-SalesForecastYear1'!J53*'4-AdditionalInputs'!$C$9</f>
        <v>0</v>
      </c>
      <c r="K10" s="153" t="n">
        <f aca="false">'3a-SalesForecastYear1'!K53*'4-AdditionalInputs'!$C$9</f>
        <v>0</v>
      </c>
      <c r="L10" s="153" t="n">
        <f aca="false">'3a-SalesForecastYear1'!L53*'4-AdditionalInputs'!$C$9</f>
        <v>0</v>
      </c>
      <c r="M10" s="153" t="n">
        <f aca="false">'3a-SalesForecastYear1'!M53*'4-AdditionalInputs'!$C$9</f>
        <v>0</v>
      </c>
      <c r="N10" s="153" t="n">
        <f aca="false">'3a-SalesForecastYear1'!N53*'4-AdditionalInputs'!$C$9</f>
        <v>0</v>
      </c>
      <c r="O10" s="156" t="n">
        <f aca="false">SUM(C10:N10)</f>
        <v>0</v>
      </c>
      <c r="P10" s="95"/>
    </row>
    <row r="11" s="93" customFormat="true" ht="13.8" hidden="false" customHeight="false" outlineLevel="0" collapsed="false">
      <c r="B11" s="323" t="s">
        <v>172</v>
      </c>
      <c r="C11" s="153" t="n">
        <v>0</v>
      </c>
      <c r="D11" s="153" t="n">
        <f aca="false">('3a-SalesForecastYear1'!C53*'4-AdditionalInputs'!$C$10)</f>
        <v>0</v>
      </c>
      <c r="E11" s="153" t="n">
        <f aca="false">('3a-SalesForecastYear1'!D53*'4-AdditionalInputs'!$C$10)+('3a-SalesForecastYear1'!C53*'4-AdditionalInputs'!$C$11)</f>
        <v>0</v>
      </c>
      <c r="F11" s="153" t="n">
        <f aca="false">('3a-SalesForecastYear1'!E53*'4-AdditionalInputs'!$C$10)+('3a-SalesForecastYear1'!D53*'4-AdditionalInputs'!$C$11)</f>
        <v>0</v>
      </c>
      <c r="G11" s="153" t="n">
        <f aca="false">('3a-SalesForecastYear1'!F53*'4-AdditionalInputs'!$C$10)+('3a-SalesForecastYear1'!E53*'4-AdditionalInputs'!$C$11)</f>
        <v>0</v>
      </c>
      <c r="H11" s="153" t="n">
        <f aca="false">('3a-SalesForecastYear1'!G53*'4-AdditionalInputs'!$C$10)+('3a-SalesForecastYear1'!F53*'4-AdditionalInputs'!$C$11)</f>
        <v>0</v>
      </c>
      <c r="I11" s="153" t="n">
        <f aca="false">('3a-SalesForecastYear1'!H53*'4-AdditionalInputs'!$C$10)+('3a-SalesForecastYear1'!G53*'4-AdditionalInputs'!$C$11)</f>
        <v>0</v>
      </c>
      <c r="J11" s="153" t="n">
        <f aca="false">('3a-SalesForecastYear1'!I53*'4-AdditionalInputs'!$C$10)+('3a-SalesForecastYear1'!H53*'4-AdditionalInputs'!$C$11)</f>
        <v>0</v>
      </c>
      <c r="K11" s="153" t="n">
        <f aca="false">('3a-SalesForecastYear1'!J53*'4-AdditionalInputs'!$C$10)+('3a-SalesForecastYear1'!I53*'4-AdditionalInputs'!$C$11)</f>
        <v>0</v>
      </c>
      <c r="L11" s="153" t="n">
        <f aca="false">('3a-SalesForecastYear1'!K53*'4-AdditionalInputs'!$C$10)+('3a-SalesForecastYear1'!J53*'4-AdditionalInputs'!$C$11)</f>
        <v>0</v>
      </c>
      <c r="M11" s="153" t="n">
        <f aca="false">('3a-SalesForecastYear1'!L53*'4-AdditionalInputs'!$C$10)+('3a-SalesForecastYear1'!K53*'4-AdditionalInputs'!$C$11)</f>
        <v>0</v>
      </c>
      <c r="N11" s="153" t="n">
        <f aca="false">('3a-SalesForecastYear1'!M53*'4-AdditionalInputs'!$C$10)+('3a-SalesForecastYear1'!L53*'4-AdditionalInputs'!$C$11)</f>
        <v>0</v>
      </c>
      <c r="O11" s="156" t="n">
        <f aca="false">SUM(C11:N11)</f>
        <v>0</v>
      </c>
      <c r="P11" s="95"/>
    </row>
    <row r="12" s="93" customFormat="true" ht="13.8" hidden="false" customHeight="false" outlineLevel="0" collapsed="false">
      <c r="B12" s="120" t="s">
        <v>173</v>
      </c>
      <c r="C12" s="156" t="n">
        <f aca="false">SUM(C10:C11)</f>
        <v>0</v>
      </c>
      <c r="D12" s="156" t="n">
        <f aca="false">SUM(D10:D11)</f>
        <v>0</v>
      </c>
      <c r="E12" s="156" t="n">
        <f aca="false">SUM(E10:E11)</f>
        <v>0</v>
      </c>
      <c r="F12" s="156" t="n">
        <f aca="false">SUM(F10:F11)</f>
        <v>0</v>
      </c>
      <c r="G12" s="156" t="n">
        <f aca="false">SUM(G10:G11)</f>
        <v>0</v>
      </c>
      <c r="H12" s="156" t="n">
        <f aca="false">SUM(H10:H11)</f>
        <v>0</v>
      </c>
      <c r="I12" s="156" t="n">
        <f aca="false">SUM(I10:I11)</f>
        <v>0</v>
      </c>
      <c r="J12" s="156" t="n">
        <f aca="false">SUM(J10:J11)</f>
        <v>0</v>
      </c>
      <c r="K12" s="156" t="n">
        <f aca="false">SUM(K10:K11)</f>
        <v>0</v>
      </c>
      <c r="L12" s="156" t="n">
        <f aca="false">SUM(L10:L11)</f>
        <v>0</v>
      </c>
      <c r="M12" s="156" t="n">
        <f aca="false">SUM(M10:M11)</f>
        <v>0</v>
      </c>
      <c r="N12" s="156" t="n">
        <f aca="false">SUM(N10:N11)</f>
        <v>0</v>
      </c>
      <c r="O12" s="156" t="n">
        <f aca="false">SUM(O10:O11)</f>
        <v>0</v>
      </c>
    </row>
    <row r="13" s="93" customFormat="true" ht="13.8" hidden="false" customHeight="false" outlineLevel="0" collapsed="false">
      <c r="B13" s="120"/>
      <c r="C13" s="153"/>
      <c r="D13" s="153"/>
      <c r="E13" s="153"/>
      <c r="F13" s="153"/>
      <c r="G13" s="153"/>
      <c r="H13" s="153"/>
      <c r="I13" s="153"/>
      <c r="J13" s="153"/>
      <c r="K13" s="153"/>
      <c r="L13" s="153"/>
      <c r="M13" s="153"/>
      <c r="N13" s="153"/>
      <c r="O13" s="156"/>
    </row>
    <row r="14" s="93" customFormat="true" ht="13.8" hidden="false" customHeight="false" outlineLevel="0" collapsed="false">
      <c r="B14" s="321" t="s">
        <v>174</v>
      </c>
      <c r="C14" s="153"/>
      <c r="D14" s="153"/>
      <c r="E14" s="153"/>
      <c r="F14" s="153"/>
      <c r="G14" s="153"/>
      <c r="H14" s="153"/>
      <c r="I14" s="153"/>
      <c r="J14" s="153"/>
      <c r="K14" s="153"/>
      <c r="L14" s="153"/>
      <c r="M14" s="153"/>
      <c r="N14" s="153"/>
      <c r="O14" s="156"/>
    </row>
    <row r="15" s="93" customFormat="true" ht="13.8" hidden="false" customHeight="false" outlineLevel="0" collapsed="false">
      <c r="B15" s="323" t="s">
        <v>175</v>
      </c>
      <c r="C15" s="153"/>
      <c r="D15" s="153"/>
      <c r="E15" s="153"/>
      <c r="F15" s="153"/>
      <c r="G15" s="153"/>
      <c r="H15" s="153"/>
      <c r="I15" s="153"/>
      <c r="J15" s="153"/>
      <c r="K15" s="153"/>
      <c r="L15" s="153"/>
      <c r="M15" s="153"/>
      <c r="N15" s="153"/>
      <c r="O15" s="156"/>
    </row>
    <row r="16" s="93" customFormat="true" ht="13.8" hidden="false" customHeight="false" outlineLevel="0" collapsed="false">
      <c r="B16" s="324" t="s">
        <v>176</v>
      </c>
      <c r="C16" s="153" t="n">
        <v>0</v>
      </c>
      <c r="D16" s="153" t="n">
        <f aca="false">'4-AdditionalInputs'!E35</f>
        <v>0</v>
      </c>
      <c r="E16" s="153" t="n">
        <f aca="false">'4-AdditionalInputs'!F35</f>
        <v>0</v>
      </c>
      <c r="F16" s="153" t="n">
        <f aca="false">'4-AdditionalInputs'!G35</f>
        <v>0</v>
      </c>
      <c r="G16" s="153" t="n">
        <f aca="false">'4-AdditionalInputs'!H35</f>
        <v>0</v>
      </c>
      <c r="H16" s="153" t="n">
        <f aca="false">'4-AdditionalInputs'!I35</f>
        <v>0</v>
      </c>
      <c r="I16" s="153" t="n">
        <f aca="false">'4-AdditionalInputs'!J35</f>
        <v>0</v>
      </c>
      <c r="J16" s="153" t="n">
        <f aca="false">'4-AdditionalInputs'!K35</f>
        <v>0</v>
      </c>
      <c r="K16" s="153" t="n">
        <f aca="false">'4-AdditionalInputs'!L35</f>
        <v>0</v>
      </c>
      <c r="L16" s="153" t="n">
        <f aca="false">'4-AdditionalInputs'!M35</f>
        <v>0</v>
      </c>
      <c r="M16" s="153" t="n">
        <f aca="false">'4-AdditionalInputs'!N35</f>
        <v>0</v>
      </c>
      <c r="N16" s="153" t="n">
        <f aca="false">'4-AdditionalInputs'!O35</f>
        <v>0</v>
      </c>
      <c r="O16" s="156" t="n">
        <f aca="false">SUM(C16:N16)</f>
        <v>0</v>
      </c>
    </row>
    <row r="17" s="93" customFormat="true" ht="13.8" hidden="false" customHeight="false" outlineLevel="0" collapsed="false">
      <c r="B17" s="324" t="s">
        <v>177</v>
      </c>
      <c r="C17" s="290"/>
      <c r="D17" s="290"/>
      <c r="E17" s="290"/>
      <c r="F17" s="290"/>
      <c r="G17" s="290"/>
      <c r="H17" s="290"/>
      <c r="I17" s="290"/>
      <c r="J17" s="290"/>
      <c r="K17" s="290"/>
      <c r="L17" s="290"/>
      <c r="M17" s="290"/>
      <c r="N17" s="290"/>
      <c r="O17" s="156" t="n">
        <f aca="false">SUM(C17:N17)</f>
        <v>0</v>
      </c>
    </row>
    <row r="18" s="93" customFormat="true" ht="13.8" hidden="false" customHeight="false" outlineLevel="0" collapsed="false">
      <c r="B18" s="324" t="s">
        <v>178</v>
      </c>
      <c r="C18" s="153" t="n">
        <f aca="false">'3a-SalesForecastYear1'!C54*'4-AdditionalInputs'!$C$17</f>
        <v>0</v>
      </c>
      <c r="D18" s="153" t="n">
        <f aca="false">('3a-SalesForecastYear1'!D54*'4-AdditionalInputs'!$C$17)+('3a-SalesForecastYear1'!C54*'4-AdditionalInputs'!$C$18)</f>
        <v>0</v>
      </c>
      <c r="E18" s="153" t="n">
        <f aca="false">('3a-SalesForecastYear1'!E54*'4-AdditionalInputs'!$C$17)+('3a-SalesForecastYear1'!D54*'4-AdditionalInputs'!$C$18)+('3a-SalesForecastYear1'!C54*'4-AdditionalInputs'!$C$19)</f>
        <v>0</v>
      </c>
      <c r="F18" s="153" t="n">
        <f aca="false">('3a-SalesForecastYear1'!F54*'4-AdditionalInputs'!$C$17)+('3a-SalesForecastYear1'!E54*'4-AdditionalInputs'!$C$18)+('3a-SalesForecastYear1'!D54*'4-AdditionalInputs'!$C$19)</f>
        <v>0</v>
      </c>
      <c r="G18" s="153" t="n">
        <f aca="false">('3a-SalesForecastYear1'!G54*'4-AdditionalInputs'!$C$17)+('3a-SalesForecastYear1'!F54*'4-AdditionalInputs'!$C$18)+('3a-SalesForecastYear1'!E54*'4-AdditionalInputs'!$C$19)</f>
        <v>0</v>
      </c>
      <c r="H18" s="153" t="n">
        <f aca="false">('3a-SalesForecastYear1'!H54*'4-AdditionalInputs'!$C$17)+('3a-SalesForecastYear1'!G54*'4-AdditionalInputs'!$C$18)+('3a-SalesForecastYear1'!F54*'4-AdditionalInputs'!$C$19)</f>
        <v>0</v>
      </c>
      <c r="I18" s="153" t="n">
        <f aca="false">('3a-SalesForecastYear1'!I54*'4-AdditionalInputs'!$C$17)+('3a-SalesForecastYear1'!H54*'4-AdditionalInputs'!$C$18)+('3a-SalesForecastYear1'!G54*'4-AdditionalInputs'!$C$19)</f>
        <v>0</v>
      </c>
      <c r="J18" s="153" t="n">
        <f aca="false">('3a-SalesForecastYear1'!J54*'4-AdditionalInputs'!$C$17)+('3a-SalesForecastYear1'!I54*'4-AdditionalInputs'!$C$18)+('3a-SalesForecastYear1'!H54*'4-AdditionalInputs'!$C$19)</f>
        <v>0</v>
      </c>
      <c r="K18" s="153" t="n">
        <f aca="false">('3a-SalesForecastYear1'!K54*'4-AdditionalInputs'!$C$17)+('3a-SalesForecastYear1'!J54*'4-AdditionalInputs'!$C$18)+('3a-SalesForecastYear1'!I54*'4-AdditionalInputs'!$C$19)</f>
        <v>0</v>
      </c>
      <c r="L18" s="153" t="n">
        <f aca="false">('3a-SalesForecastYear1'!L54*'4-AdditionalInputs'!$C$17)+('3a-SalesForecastYear1'!K54*'4-AdditionalInputs'!$C$18)+('3a-SalesForecastYear1'!J54*'4-AdditionalInputs'!$C$19)</f>
        <v>0</v>
      </c>
      <c r="M18" s="153" t="n">
        <f aca="false">('3a-SalesForecastYear1'!M54*'4-AdditionalInputs'!$C$17)+('3a-SalesForecastYear1'!L54*'4-AdditionalInputs'!$C$18)+('3a-SalesForecastYear1'!K54*'4-AdditionalInputs'!$C$19)</f>
        <v>0</v>
      </c>
      <c r="N18" s="153" t="n">
        <f aca="false">('3a-SalesForecastYear1'!N54*'4-AdditionalInputs'!$C$17)+('3a-SalesForecastYear1'!M54*'4-AdditionalInputs'!$C$18)+('3a-SalesForecastYear1'!L54*'4-AdditionalInputs'!$C$19)</f>
        <v>0</v>
      </c>
      <c r="O18" s="156" t="n">
        <f aca="false">SUM(C18:N18)</f>
        <v>0</v>
      </c>
    </row>
    <row r="19" s="93" customFormat="true" ht="13.8" hidden="false" customHeight="false" outlineLevel="0" collapsed="false">
      <c r="B19" s="323" t="s">
        <v>179</v>
      </c>
      <c r="C19" s="153"/>
      <c r="D19" s="153"/>
      <c r="E19" s="153"/>
      <c r="F19" s="153"/>
      <c r="G19" s="153"/>
      <c r="H19" s="153"/>
      <c r="I19" s="153"/>
      <c r="J19" s="153"/>
      <c r="K19" s="153"/>
      <c r="L19" s="153"/>
      <c r="M19" s="153"/>
      <c r="N19" s="153"/>
      <c r="O19" s="156"/>
    </row>
    <row r="20" s="93" customFormat="true" ht="13.8" hidden="false" customHeight="false" outlineLevel="0" collapsed="false">
      <c r="B20" s="324" t="s">
        <v>180</v>
      </c>
      <c r="C20" s="153" t="n">
        <f aca="false">'5a-OpExYear1'!C25</f>
        <v>0</v>
      </c>
      <c r="D20" s="153" t="n">
        <f aca="false">'5a-OpExYear1'!D25</f>
        <v>0</v>
      </c>
      <c r="E20" s="153" t="n">
        <f aca="false">'5a-OpExYear1'!E25</f>
        <v>0</v>
      </c>
      <c r="F20" s="153" t="n">
        <f aca="false">'5a-OpExYear1'!F25</f>
        <v>0</v>
      </c>
      <c r="G20" s="153" t="n">
        <f aca="false">'5a-OpExYear1'!G25</f>
        <v>0</v>
      </c>
      <c r="H20" s="153" t="n">
        <f aca="false">'5a-OpExYear1'!H25</f>
        <v>0</v>
      </c>
      <c r="I20" s="153" t="n">
        <f aca="false">'5a-OpExYear1'!I25</f>
        <v>0</v>
      </c>
      <c r="J20" s="153" t="n">
        <f aca="false">'5a-OpExYear1'!J25</f>
        <v>0</v>
      </c>
      <c r="K20" s="153" t="n">
        <f aca="false">'5a-OpExYear1'!K25</f>
        <v>0</v>
      </c>
      <c r="L20" s="153" t="n">
        <f aca="false">'5a-OpExYear1'!L25</f>
        <v>0</v>
      </c>
      <c r="M20" s="153" t="n">
        <f aca="false">'5a-OpExYear1'!M25</f>
        <v>0</v>
      </c>
      <c r="N20" s="153" t="n">
        <f aca="false">'5a-OpExYear1'!N25</f>
        <v>0</v>
      </c>
      <c r="O20" s="156" t="n">
        <f aca="false">SUM(C20:N20)</f>
        <v>0</v>
      </c>
    </row>
    <row r="21" s="93" customFormat="true" ht="13.8" hidden="false" customHeight="false" outlineLevel="0" collapsed="false">
      <c r="B21" s="324" t="s">
        <v>181</v>
      </c>
      <c r="C21" s="153" t="n">
        <f aca="false">'2a-PayrollYear1'!F25</f>
        <v>0</v>
      </c>
      <c r="D21" s="153" t="n">
        <f aca="false">'2a-PayrollYear1'!G25</f>
        <v>0</v>
      </c>
      <c r="E21" s="153" t="n">
        <f aca="false">'2a-PayrollYear1'!H25</f>
        <v>0</v>
      </c>
      <c r="F21" s="153" t="n">
        <f aca="false">'2a-PayrollYear1'!I25</f>
        <v>0</v>
      </c>
      <c r="G21" s="153" t="n">
        <f aca="false">'2a-PayrollYear1'!J25</f>
        <v>0</v>
      </c>
      <c r="H21" s="153" t="n">
        <f aca="false">'2a-PayrollYear1'!K25</f>
        <v>0</v>
      </c>
      <c r="I21" s="153" t="n">
        <f aca="false">'2a-PayrollYear1'!L25</f>
        <v>0</v>
      </c>
      <c r="J21" s="153" t="n">
        <f aca="false">'2a-PayrollYear1'!M25</f>
        <v>0</v>
      </c>
      <c r="K21" s="153" t="n">
        <f aca="false">'2a-PayrollYear1'!N25</f>
        <v>0</v>
      </c>
      <c r="L21" s="153" t="n">
        <f aca="false">'2a-PayrollYear1'!O25</f>
        <v>0</v>
      </c>
      <c r="M21" s="153" t="n">
        <f aca="false">'2a-PayrollYear1'!P25</f>
        <v>0</v>
      </c>
      <c r="N21" s="153" t="n">
        <f aca="false">'2a-PayrollYear1'!Q25</f>
        <v>0</v>
      </c>
      <c r="O21" s="156" t="n">
        <f aca="false">SUM(C21:N21)</f>
        <v>0</v>
      </c>
    </row>
    <row r="22" s="93" customFormat="true" ht="13.8" hidden="false" customHeight="false" outlineLevel="0" collapsed="false">
      <c r="B22" s="324" t="s">
        <v>182</v>
      </c>
      <c r="C22" s="153" t="n">
        <v>0</v>
      </c>
      <c r="D22" s="153" t="n">
        <v>0</v>
      </c>
      <c r="E22" s="153" t="n">
        <f aca="false">SUM('7a-IncomeStatementYear1'!C59:E59)</f>
        <v>0</v>
      </c>
      <c r="F22" s="153" t="n">
        <v>0</v>
      </c>
      <c r="G22" s="153" t="n">
        <v>0</v>
      </c>
      <c r="H22" s="153" t="n">
        <f aca="false">SUM('7a-IncomeStatementYear1'!F59:H59)</f>
        <v>0</v>
      </c>
      <c r="I22" s="153" t="n">
        <v>0</v>
      </c>
      <c r="J22" s="153" t="n">
        <v>0</v>
      </c>
      <c r="K22" s="153" t="n">
        <f aca="false">SUM('7a-IncomeStatementYear1'!I59:K59)</f>
        <v>0</v>
      </c>
      <c r="L22" s="153" t="n">
        <v>0</v>
      </c>
      <c r="M22" s="153" t="n">
        <v>0</v>
      </c>
      <c r="N22" s="153" t="n">
        <f aca="false">SUM('7a-IncomeStatementYear1'!L59:N59)</f>
        <v>0</v>
      </c>
      <c r="O22" s="156" t="n">
        <f aca="false">SUM(C22:N22)</f>
        <v>0</v>
      </c>
    </row>
    <row r="23" s="93" customFormat="true" ht="13.8" hidden="false" customHeight="false" outlineLevel="0" collapsed="false">
      <c r="B23" s="323" t="s">
        <v>183</v>
      </c>
      <c r="C23" s="153"/>
      <c r="D23" s="153"/>
      <c r="E23" s="153"/>
      <c r="F23" s="153"/>
      <c r="G23" s="153"/>
      <c r="H23" s="153"/>
      <c r="I23" s="153"/>
      <c r="J23" s="153"/>
      <c r="K23" s="153"/>
      <c r="L23" s="153"/>
      <c r="M23" s="153"/>
      <c r="N23" s="153"/>
      <c r="O23" s="156"/>
    </row>
    <row r="24" s="93" customFormat="true" ht="13.8" hidden="false" customHeight="false" outlineLevel="0" collapsed="false">
      <c r="B24" s="324" t="s">
        <v>184</v>
      </c>
      <c r="C24" s="153" t="n">
        <f aca="false">SUM('Amortization&amp;Depreciation'!C15:C16)+SUM('Amortization&amp;Depreciation'!C35:C36)+SUM('Amortization&amp;Depreciation'!C55:C56)+SUM('Amortization&amp;Depreciation'!C75:C76)+SUM('Amortization&amp;Depreciation'!C95:C96)</f>
        <v>0</v>
      </c>
      <c r="D24" s="153" t="n">
        <f aca="false">SUM('Amortization&amp;Depreciation'!D15:D16)+SUM('Amortization&amp;Depreciation'!D35:D36)+SUM('Amortization&amp;Depreciation'!D55:D56)+SUM('Amortization&amp;Depreciation'!D75:D76)+SUM('Amortization&amp;Depreciation'!D95:D96)</f>
        <v>0</v>
      </c>
      <c r="E24" s="153" t="n">
        <f aca="false">SUM('Amortization&amp;Depreciation'!E15:E16)+SUM('Amortization&amp;Depreciation'!E35:E36)+SUM('Amortization&amp;Depreciation'!E55:E56)+SUM('Amortization&amp;Depreciation'!E75:E76)+SUM('Amortization&amp;Depreciation'!E95:E96)</f>
        <v>0</v>
      </c>
      <c r="F24" s="153" t="n">
        <f aca="false">SUM('Amortization&amp;Depreciation'!F15:F16)+SUM('Amortization&amp;Depreciation'!F35:F36)+SUM('Amortization&amp;Depreciation'!F55:F56)+SUM('Amortization&amp;Depreciation'!F75:F76)+SUM('Amortization&amp;Depreciation'!F95:F96)</f>
        <v>0</v>
      </c>
      <c r="G24" s="153" t="n">
        <f aca="false">SUM('Amortization&amp;Depreciation'!G15:G16)+SUM('Amortization&amp;Depreciation'!G35:G36)+SUM('Amortization&amp;Depreciation'!G55:G56)+SUM('Amortization&amp;Depreciation'!G75:G76)+SUM('Amortization&amp;Depreciation'!G95:G96)</f>
        <v>0</v>
      </c>
      <c r="H24" s="153" t="n">
        <f aca="false">SUM('Amortization&amp;Depreciation'!H15:H16)+SUM('Amortization&amp;Depreciation'!H35:H36)+SUM('Amortization&amp;Depreciation'!H55:H56)+SUM('Amortization&amp;Depreciation'!H75:H76)+SUM('Amortization&amp;Depreciation'!H95:H96)</f>
        <v>0</v>
      </c>
      <c r="I24" s="153" t="n">
        <f aca="false">SUM('Amortization&amp;Depreciation'!I15:I16)+SUM('Amortization&amp;Depreciation'!I35:I36)+SUM('Amortization&amp;Depreciation'!I55:I56)+SUM('Amortization&amp;Depreciation'!I75:I76)+SUM('Amortization&amp;Depreciation'!I95:I96)</f>
        <v>0</v>
      </c>
      <c r="J24" s="153" t="n">
        <f aca="false">SUM('Amortization&amp;Depreciation'!J15:J16)+SUM('Amortization&amp;Depreciation'!J35:J36)+SUM('Amortization&amp;Depreciation'!J55:J56)+SUM('Amortization&amp;Depreciation'!J75:J76)+SUM('Amortization&amp;Depreciation'!J95:J96)</f>
        <v>0</v>
      </c>
      <c r="K24" s="153" t="n">
        <f aca="false">SUM('Amortization&amp;Depreciation'!K15:K16)+SUM('Amortization&amp;Depreciation'!K35:K36)+SUM('Amortization&amp;Depreciation'!K55:K56)+SUM('Amortization&amp;Depreciation'!K75:K76)+SUM('Amortization&amp;Depreciation'!K95:K96)</f>
        <v>0</v>
      </c>
      <c r="L24" s="153" t="n">
        <f aca="false">SUM('Amortization&amp;Depreciation'!L15:L16)+SUM('Amortization&amp;Depreciation'!L35:L36)+SUM('Amortization&amp;Depreciation'!L55:L56)+SUM('Amortization&amp;Depreciation'!L75:L76)+SUM('Amortization&amp;Depreciation'!L95:L96)</f>
        <v>0</v>
      </c>
      <c r="M24" s="153" t="n">
        <f aca="false">SUM('Amortization&amp;Depreciation'!M15:M16)+SUM('Amortization&amp;Depreciation'!M35:M36)+SUM('Amortization&amp;Depreciation'!M55:M56)+SUM('Amortization&amp;Depreciation'!M75:M76)+SUM('Amortization&amp;Depreciation'!M95:M96)</f>
        <v>0</v>
      </c>
      <c r="N24" s="153" t="n">
        <f aca="false">SUM('Amortization&amp;Depreciation'!N15:N16)+SUM('Amortization&amp;Depreciation'!N35:N36)+SUM('Amortization&amp;Depreciation'!N55:N56)+SUM('Amortization&amp;Depreciation'!N75:N76)+SUM('Amortization&amp;Depreciation'!N95:N96)</f>
        <v>0</v>
      </c>
      <c r="O24" s="156" t="n">
        <f aca="false">SUM(C24:N24)</f>
        <v>0</v>
      </c>
    </row>
    <row r="25" s="93" customFormat="true" ht="13.8" hidden="false" customHeight="false" outlineLevel="0" collapsed="false">
      <c r="B25" s="324" t="s">
        <v>185</v>
      </c>
      <c r="C25" s="290"/>
      <c r="D25" s="290"/>
      <c r="E25" s="290"/>
      <c r="F25" s="290"/>
      <c r="G25" s="290"/>
      <c r="H25" s="290"/>
      <c r="I25" s="290"/>
      <c r="J25" s="290"/>
      <c r="K25" s="290"/>
      <c r="L25" s="290"/>
      <c r="M25" s="290"/>
      <c r="N25" s="290"/>
      <c r="O25" s="156" t="n">
        <f aca="false">SUM(C25:N25)</f>
        <v>0</v>
      </c>
    </row>
    <row r="26" s="93" customFormat="true" ht="13.8" hidden="false" customHeight="false" outlineLevel="0" collapsed="false">
      <c r="B26" s="324" t="s">
        <v>186</v>
      </c>
      <c r="C26" s="153"/>
      <c r="D26" s="153" t="n">
        <f aca="false">C34*'4-AdditionalInputs'!$D$25/12</f>
        <v>0</v>
      </c>
      <c r="E26" s="153" t="n">
        <f aca="false">D34*'4-AdditionalInputs'!$D$25/12</f>
        <v>0</v>
      </c>
      <c r="F26" s="153" t="n">
        <f aca="false">E34*'4-AdditionalInputs'!$D$25/12</f>
        <v>0</v>
      </c>
      <c r="G26" s="153" t="n">
        <f aca="false">F34*'4-AdditionalInputs'!$D$25/12</f>
        <v>0</v>
      </c>
      <c r="H26" s="153" t="n">
        <f aca="false">G34*'4-AdditionalInputs'!$D$25/12</f>
        <v>0</v>
      </c>
      <c r="I26" s="153" t="n">
        <f aca="false">H34*'4-AdditionalInputs'!$D$25/12</f>
        <v>0</v>
      </c>
      <c r="J26" s="153" t="n">
        <f aca="false">I34*'4-AdditionalInputs'!$D$25/12</f>
        <v>0</v>
      </c>
      <c r="K26" s="153" t="n">
        <f aca="false">J34*'4-AdditionalInputs'!$D$25/12</f>
        <v>0</v>
      </c>
      <c r="L26" s="153" t="n">
        <f aca="false">K34*'4-AdditionalInputs'!$D$25/12</f>
        <v>0</v>
      </c>
      <c r="M26" s="153" t="n">
        <f aca="false">L34*'4-AdditionalInputs'!$D$25/12</f>
        <v>0</v>
      </c>
      <c r="N26" s="153" t="n">
        <f aca="false">M34*'4-AdditionalInputs'!$D$25/12</f>
        <v>0</v>
      </c>
      <c r="O26" s="156" t="n">
        <f aca="false">SUM(C26:N26)</f>
        <v>0</v>
      </c>
    </row>
    <row r="27" s="93" customFormat="true" ht="13.8" hidden="false" customHeight="false" outlineLevel="0" collapsed="false">
      <c r="B27" s="324" t="s">
        <v>187</v>
      </c>
      <c r="C27" s="290"/>
      <c r="D27" s="290"/>
      <c r="E27" s="290"/>
      <c r="F27" s="290"/>
      <c r="G27" s="290"/>
      <c r="H27" s="290"/>
      <c r="I27" s="290"/>
      <c r="J27" s="290"/>
      <c r="K27" s="290"/>
      <c r="L27" s="290"/>
      <c r="M27" s="290"/>
      <c r="N27" s="290"/>
      <c r="O27" s="156" t="n">
        <f aca="false">SUM(C27:N27)</f>
        <v>0</v>
      </c>
    </row>
    <row r="28" s="93" customFormat="true" ht="13.8" hidden="false" customHeight="false" outlineLevel="0" collapsed="false">
      <c r="B28" s="324" t="s">
        <v>188</v>
      </c>
      <c r="C28" s="290"/>
      <c r="D28" s="290"/>
      <c r="E28" s="290"/>
      <c r="F28" s="290"/>
      <c r="G28" s="290"/>
      <c r="H28" s="290"/>
      <c r="I28" s="290"/>
      <c r="J28" s="290"/>
      <c r="K28" s="290"/>
      <c r="L28" s="290"/>
      <c r="M28" s="290"/>
      <c r="N28" s="290"/>
      <c r="O28" s="156" t="n">
        <f aca="false">SUM(C28:N28)</f>
        <v>0</v>
      </c>
    </row>
    <row r="29" s="93" customFormat="true" ht="13.8" hidden="false" customHeight="false" outlineLevel="0" collapsed="false">
      <c r="B29" s="325" t="s">
        <v>189</v>
      </c>
      <c r="C29" s="326" t="n">
        <f aca="false">SUM(C16:C28)</f>
        <v>0</v>
      </c>
      <c r="D29" s="326" t="n">
        <f aca="false">SUM(D16:D28)</f>
        <v>0</v>
      </c>
      <c r="E29" s="326" t="n">
        <f aca="false">SUM(E16:E28)</f>
        <v>0</v>
      </c>
      <c r="F29" s="326" t="n">
        <f aca="false">SUM(F16:F28)</f>
        <v>0</v>
      </c>
      <c r="G29" s="326" t="n">
        <f aca="false">SUM(G16:G28)</f>
        <v>0</v>
      </c>
      <c r="H29" s="326" t="n">
        <f aca="false">SUM(H16:H28)</f>
        <v>0</v>
      </c>
      <c r="I29" s="326" t="n">
        <f aca="false">SUM(I16:I28)</f>
        <v>0</v>
      </c>
      <c r="J29" s="326" t="n">
        <f aca="false">SUM(J16:J28)</f>
        <v>0</v>
      </c>
      <c r="K29" s="326" t="n">
        <f aca="false">SUM(K16:K28)</f>
        <v>0</v>
      </c>
      <c r="L29" s="326" t="n">
        <f aca="false">SUM(L16:L28)</f>
        <v>0</v>
      </c>
      <c r="M29" s="326" t="n">
        <f aca="false">SUM(M16:M28)</f>
        <v>0</v>
      </c>
      <c r="N29" s="326" t="n">
        <f aca="false">SUM(N16:N28)</f>
        <v>0</v>
      </c>
      <c r="O29" s="156" t="n">
        <f aca="false">SUM(C29:N29)</f>
        <v>0</v>
      </c>
    </row>
    <row r="30" s="93" customFormat="true" ht="13.8" hidden="false" customHeight="false" outlineLevel="0" collapsed="false">
      <c r="B30" s="321" t="s">
        <v>190</v>
      </c>
      <c r="C30" s="156" t="n">
        <f aca="false">C12-C29</f>
        <v>0</v>
      </c>
      <c r="D30" s="156" t="n">
        <f aca="false">D12-D29</f>
        <v>0</v>
      </c>
      <c r="E30" s="156" t="n">
        <f aca="false">E12-E29</f>
        <v>0</v>
      </c>
      <c r="F30" s="156" t="n">
        <f aca="false">F12-F29</f>
        <v>0</v>
      </c>
      <c r="G30" s="156" t="n">
        <f aca="false">G12-G29</f>
        <v>0</v>
      </c>
      <c r="H30" s="156" t="n">
        <f aca="false">H12-H29</f>
        <v>0</v>
      </c>
      <c r="I30" s="156" t="n">
        <f aca="false">I12-I29</f>
        <v>0</v>
      </c>
      <c r="J30" s="156" t="n">
        <f aca="false">J12-J29</f>
        <v>0</v>
      </c>
      <c r="K30" s="156" t="n">
        <f aca="false">K12-K29</f>
        <v>0</v>
      </c>
      <c r="L30" s="156" t="n">
        <f aca="false">L12-L29</f>
        <v>0</v>
      </c>
      <c r="M30" s="156" t="n">
        <f aca="false">M12-M29</f>
        <v>0</v>
      </c>
      <c r="N30" s="156" t="n">
        <f aca="false">N12-N29</f>
        <v>0</v>
      </c>
      <c r="O30" s="156" t="n">
        <f aca="false">SUM(C30:N30)</f>
        <v>0</v>
      </c>
    </row>
    <row r="31" s="93" customFormat="true" ht="13.8" hidden="false" customHeight="false" outlineLevel="0" collapsed="false">
      <c r="B31" s="321" t="s">
        <v>191</v>
      </c>
      <c r="C31" s="156" t="n">
        <f aca="false">C8+C30</f>
        <v>0</v>
      </c>
      <c r="D31" s="156" t="n">
        <f aca="false">D8+D30</f>
        <v>0</v>
      </c>
      <c r="E31" s="156" t="n">
        <f aca="false">E8+E30</f>
        <v>0</v>
      </c>
      <c r="F31" s="156" t="n">
        <f aca="false">F8+F30</f>
        <v>0</v>
      </c>
      <c r="G31" s="156" t="n">
        <f aca="false">G8+G30</f>
        <v>0</v>
      </c>
      <c r="H31" s="156" t="n">
        <f aca="false">H8+H30</f>
        <v>0</v>
      </c>
      <c r="I31" s="156" t="n">
        <f aca="false">I8+I30</f>
        <v>0</v>
      </c>
      <c r="J31" s="156" t="n">
        <f aca="false">J8+J30</f>
        <v>0</v>
      </c>
      <c r="K31" s="156" t="n">
        <f aca="false">K8+K30</f>
        <v>0</v>
      </c>
      <c r="L31" s="156" t="n">
        <f aca="false">L8+L30</f>
        <v>0</v>
      </c>
      <c r="M31" s="156" t="n">
        <f aca="false">M8+M30</f>
        <v>0</v>
      </c>
      <c r="N31" s="156" t="n">
        <f aca="false">N8+N30</f>
        <v>0</v>
      </c>
      <c r="O31" s="156"/>
    </row>
    <row r="32" s="93" customFormat="true" ht="13.8" hidden="false" customHeight="false" outlineLevel="0" collapsed="false">
      <c r="B32" s="321" t="s">
        <v>192</v>
      </c>
      <c r="C32" s="156" t="n">
        <f aca="false">IF(C31&lt;'4-AdditionalInputs'!$D$24, '4-AdditionalInputs'!$D$24-C31, 0)</f>
        <v>0</v>
      </c>
      <c r="D32" s="156" t="n">
        <f aca="false">IF(D31&lt;'4-AdditionalInputs'!$D$24, '4-AdditionalInputs'!$D$24-D31, 0)</f>
        <v>0</v>
      </c>
      <c r="E32" s="156" t="n">
        <f aca="false">IF(E31&lt;'4-AdditionalInputs'!$D$24, '4-AdditionalInputs'!$D$24-E31, 0)</f>
        <v>0</v>
      </c>
      <c r="F32" s="156" t="n">
        <f aca="false">IF(F31&lt;'4-AdditionalInputs'!$D$24, '4-AdditionalInputs'!$D$24-F31, 0)</f>
        <v>0</v>
      </c>
      <c r="G32" s="156" t="n">
        <f aca="false">IF(G31&lt;'4-AdditionalInputs'!$D$24, '4-AdditionalInputs'!$D$24-G31, 0)</f>
        <v>0</v>
      </c>
      <c r="H32" s="156" t="n">
        <f aca="false">IF(H31&lt;'4-AdditionalInputs'!$D$24, '4-AdditionalInputs'!$D$24-H31, 0)</f>
        <v>0</v>
      </c>
      <c r="I32" s="156" t="n">
        <f aca="false">IF(I31&lt;'4-AdditionalInputs'!$D$24, '4-AdditionalInputs'!$D$24-I31, 0)</f>
        <v>0</v>
      </c>
      <c r="J32" s="156" t="n">
        <f aca="false">IF(J31&lt;'4-AdditionalInputs'!$D$24, '4-AdditionalInputs'!$D$24-J31, 0)</f>
        <v>0</v>
      </c>
      <c r="K32" s="156" t="n">
        <f aca="false">IF(K31&lt;'4-AdditionalInputs'!$D$24, '4-AdditionalInputs'!$D$24-K31, 0)</f>
        <v>0</v>
      </c>
      <c r="L32" s="156" t="n">
        <f aca="false">IF(L31&lt;'4-AdditionalInputs'!$D$24, '4-AdditionalInputs'!$D$24-L31, 0)</f>
        <v>0</v>
      </c>
      <c r="M32" s="156" t="n">
        <f aca="false">IF(M31&lt;'4-AdditionalInputs'!$D$24, '4-AdditionalInputs'!$D$24-M31, 0)</f>
        <v>0</v>
      </c>
      <c r="N32" s="156" t="n">
        <f aca="false">IF(N31&lt;'4-AdditionalInputs'!$D$24, '4-AdditionalInputs'!$D$24-N31, 0)</f>
        <v>0</v>
      </c>
      <c r="O32" s="156" t="n">
        <f aca="false">SUM(C32:N32)</f>
        <v>0</v>
      </c>
    </row>
    <row r="33" s="93" customFormat="true" ht="13.8" hidden="false" customHeight="false" outlineLevel="0" collapsed="false">
      <c r="B33" s="321" t="s">
        <v>193</v>
      </c>
      <c r="C33" s="156" t="n">
        <f aca="false">SUM(C31+C32)</f>
        <v>0</v>
      </c>
      <c r="D33" s="156" t="n">
        <f aca="false">SUM(D31+D32)</f>
        <v>0</v>
      </c>
      <c r="E33" s="156" t="n">
        <f aca="false">SUM(E31+E32)</f>
        <v>0</v>
      </c>
      <c r="F33" s="156" t="n">
        <f aca="false">SUM(F31+F32)</f>
        <v>0</v>
      </c>
      <c r="G33" s="156" t="n">
        <f aca="false">SUM(G31+G32)</f>
        <v>0</v>
      </c>
      <c r="H33" s="156" t="n">
        <f aca="false">SUM(H31+H32)</f>
        <v>0</v>
      </c>
      <c r="I33" s="156" t="n">
        <f aca="false">SUM(I31+I32)</f>
        <v>0</v>
      </c>
      <c r="J33" s="156" t="n">
        <f aca="false">SUM(J31+J32)</f>
        <v>0</v>
      </c>
      <c r="K33" s="156" t="n">
        <f aca="false">SUM(K31+K32)</f>
        <v>0</v>
      </c>
      <c r="L33" s="156" t="n">
        <f aca="false">SUM(L31+L32)</f>
        <v>0</v>
      </c>
      <c r="M33" s="156" t="n">
        <f aca="false">SUM(M31+M32)</f>
        <v>0</v>
      </c>
      <c r="N33" s="156" t="n">
        <f aca="false">SUM(N31+N32)</f>
        <v>0</v>
      </c>
      <c r="O33" s="156"/>
    </row>
    <row r="34" s="93" customFormat="true" ht="13.8" hidden="false" customHeight="false" outlineLevel="0" collapsed="false">
      <c r="B34" s="120" t="s">
        <v>194</v>
      </c>
      <c r="C34" s="140" t="n">
        <f aca="false">C32-C27</f>
        <v>0</v>
      </c>
      <c r="D34" s="140" t="n">
        <f aca="false">D32+C34-D27</f>
        <v>0</v>
      </c>
      <c r="E34" s="140" t="n">
        <f aca="false">E32+D34-E27</f>
        <v>0</v>
      </c>
      <c r="F34" s="140" t="n">
        <f aca="false">F32+E34-F27</f>
        <v>0</v>
      </c>
      <c r="G34" s="140" t="n">
        <f aca="false">G32+F34-G27</f>
        <v>0</v>
      </c>
      <c r="H34" s="140" t="n">
        <f aca="false">H32+G34-H27</f>
        <v>0</v>
      </c>
      <c r="I34" s="140" t="n">
        <f aca="false">I32+H34-I27</f>
        <v>0</v>
      </c>
      <c r="J34" s="140" t="n">
        <f aca="false">J32+I34-J27</f>
        <v>0</v>
      </c>
      <c r="K34" s="140" t="n">
        <f aca="false">K32+J34-K27</f>
        <v>0</v>
      </c>
      <c r="L34" s="140" t="n">
        <f aca="false">L32+K34-L27</f>
        <v>0</v>
      </c>
      <c r="M34" s="140" t="n">
        <f aca="false">M32+L34-M27</f>
        <v>0</v>
      </c>
      <c r="N34" s="140" t="n">
        <f aca="false">N32+M34-N27</f>
        <v>0</v>
      </c>
      <c r="O34" s="156"/>
    </row>
  </sheetData>
  <sheetProtection sheet="true" password="cc3d" objects="true" scenarios="true" formatColumns="false" formatRows="false"/>
  <mergeCells count="1">
    <mergeCell ref="B2:C2"/>
  </mergeCells>
  <conditionalFormatting sqref="C25:N25,C27:N28">
    <cfRule type="expression" priority="2" aboveAverage="0" equalAverage="0" bottom="0" percent="0" rank="0" text="" dxfId="0">
      <formula>LEN(TRIM(C25))=0</formula>
    </cfRule>
  </conditionalFormatting>
  <conditionalFormatting sqref="C29:O29">
    <cfRule type="expression" priority="3" aboveAverage="0" equalAverage="0" bottom="0" percent="0" rank="0" text="" dxfId="1">
      <formula>ISERROR(C29)</formula>
    </cfRule>
  </conditionalFormatting>
  <conditionalFormatting sqref="C30:N31,D8:N8,D31:N32,C24:O24">
    <cfRule type="expression" priority="4" aboveAverage="0" equalAverage="0" bottom="0" percent="0" rank="0" text="" dxfId="2">
      <formula>ISERROR(C8)</formula>
    </cfRule>
  </conditionalFormatting>
  <conditionalFormatting sqref="C33:N33">
    <cfRule type="expression" priority="5" aboveAverage="0" equalAverage="0" bottom="0" percent="0" rank="0" text="" dxfId="3">
      <formula>ISERROR(C33)</formula>
    </cfRule>
  </conditionalFormatting>
  <conditionalFormatting sqref="O30:O34">
    <cfRule type="expression" priority="6" aboveAverage="0" equalAverage="0" bottom="0" percent="0" rank="0" text="" dxfId="4">
      <formula>ISERROR(O30)</formula>
    </cfRule>
  </conditionalFormatting>
  <conditionalFormatting sqref="C32:N32">
    <cfRule type="expression" priority="7" aboveAverage="0" equalAverage="0" bottom="0" percent="0" rank="0" text="" dxfId="5">
      <formula>LEN(TRIM(C32))=0</formula>
    </cfRule>
  </conditionalFormatting>
  <conditionalFormatting sqref="C17:N17">
    <cfRule type="expression" priority="8" aboveAverage="0" equalAverage="0" bottom="0" percent="0" rank="0" text="" dxfId="6">
      <formula>LEN(TRIM(C17))=0</formula>
    </cfRule>
  </conditionalFormatting>
  <printOptions headings="false" gridLines="false" gridLinesSet="true" horizontalCentered="fals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MT,Regular"&amp;12Cash Flow Forecast Year 1</oddHeader>
    <oddFooter>&amp;L&amp;"Gill Sans MT,Regular"&amp;12&amp;F&amp;C&amp;"Gill Sans MT,Regular"&amp;12&amp;A&amp;R&amp;"Gill Sans MT,Regular"&amp;12&amp;D &amp;T</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B33"/>
  <sheetViews>
    <sheetView windowProtection="false" showFormulas="false" showGridLines="true" showRowColHeaders="true" showZeros="true" rightToLeft="false" tabSelected="false" showOutlineSymbols="true" defaultGridColor="true" view="normal" topLeftCell="K4" colorId="64" zoomScale="80" zoomScaleNormal="80" zoomScalePageLayoutView="100" workbookViewId="0">
      <selection pane="topLeft" activeCell="AB27" activeCellId="0" sqref="AB27"/>
    </sheetView>
  </sheetViews>
  <sheetFormatPr defaultRowHeight="13.8"/>
  <cols>
    <col collapsed="false" hidden="false" max="1" min="1" style="95" width="29.3279352226721"/>
    <col collapsed="false" hidden="false" max="2" min="2" style="95" width="13.8906882591093"/>
    <col collapsed="false" hidden="false" max="10" min="3" style="93" width="9.66396761133603"/>
    <col collapsed="false" hidden="false" max="11" min="11" style="93" width="10.4412955465587"/>
    <col collapsed="false" hidden="false" max="14" min="12" style="93" width="9.66396761133603"/>
    <col collapsed="false" hidden="false" max="15" min="15" style="93" width="12.4412955465587"/>
    <col collapsed="false" hidden="false" max="16" min="16" style="93" width="9.66396761133603"/>
    <col collapsed="false" hidden="false" max="17" min="17" style="95" width="9.66396761133603"/>
    <col collapsed="false" hidden="false" max="27" min="18" style="93" width="9.66396761133603"/>
    <col collapsed="false" hidden="false" max="28" min="28" style="93" width="15.8906882591093"/>
    <col collapsed="false" hidden="false" max="1025" min="29" style="93" width="8.88259109311741"/>
  </cols>
  <sheetData>
    <row r="1" customFormat="false" ht="13.8" hidden="false" customHeight="false" outlineLevel="0" collapsed="false">
      <c r="A1" s="0"/>
      <c r="B1" s="237" t="s">
        <v>195</v>
      </c>
      <c r="C1" s="238"/>
      <c r="D1" s="0"/>
      <c r="E1" s="238"/>
      <c r="F1" s="238"/>
      <c r="G1" s="238"/>
      <c r="H1" s="238"/>
      <c r="I1" s="95"/>
      <c r="J1" s="95"/>
      <c r="K1" s="0"/>
      <c r="L1" s="0"/>
      <c r="M1" s="0"/>
      <c r="N1" s="95"/>
      <c r="O1" s="95"/>
      <c r="P1" s="317"/>
      <c r="Q1" s="317"/>
      <c r="R1" s="95"/>
      <c r="S1" s="95"/>
      <c r="T1" s="0"/>
      <c r="U1" s="0"/>
      <c r="V1" s="0"/>
      <c r="W1" s="0"/>
      <c r="X1" s="0"/>
      <c r="Y1" s="0"/>
      <c r="Z1" s="0"/>
      <c r="AA1" s="0"/>
      <c r="AB1" s="0"/>
    </row>
    <row r="2" customFormat="false" ht="13.8" hidden="false" customHeight="false" outlineLevel="0" collapsed="false">
      <c r="A2" s="0"/>
      <c r="B2" s="0"/>
      <c r="C2" s="95"/>
      <c r="D2" s="0"/>
      <c r="E2" s="95"/>
      <c r="F2" s="95"/>
      <c r="G2" s="95"/>
      <c r="H2" s="239"/>
      <c r="I2" s="95"/>
      <c r="J2" s="95"/>
      <c r="K2" s="0"/>
      <c r="L2" s="0"/>
      <c r="M2" s="0"/>
      <c r="N2" s="95"/>
      <c r="O2" s="95"/>
      <c r="P2" s="95"/>
      <c r="Q2" s="0"/>
      <c r="R2" s="95"/>
      <c r="S2" s="95"/>
      <c r="T2" s="0"/>
      <c r="U2" s="0"/>
      <c r="V2" s="0"/>
      <c r="W2" s="0"/>
      <c r="X2" s="0"/>
      <c r="Y2" s="0"/>
      <c r="Z2" s="0"/>
      <c r="AA2" s="0"/>
      <c r="AB2" s="0"/>
    </row>
    <row r="3" customFormat="false" ht="19.5" hidden="false" customHeight="true" outlineLevel="0" collapsed="false">
      <c r="A3" s="0"/>
      <c r="B3" s="318" t="s">
        <v>8</v>
      </c>
      <c r="C3" s="318" t="s">
        <v>9</v>
      </c>
      <c r="D3" s="0"/>
      <c r="E3" s="95"/>
      <c r="F3" s="95"/>
      <c r="G3" s="95"/>
      <c r="H3" s="239"/>
      <c r="I3" s="95"/>
      <c r="J3" s="95"/>
      <c r="K3" s="0"/>
      <c r="L3" s="0"/>
      <c r="M3" s="0"/>
      <c r="N3" s="95"/>
      <c r="O3" s="95"/>
      <c r="P3" s="95"/>
      <c r="Q3" s="0"/>
      <c r="R3" s="95"/>
      <c r="S3" s="95"/>
      <c r="T3" s="0"/>
      <c r="U3" s="0"/>
      <c r="V3" s="0"/>
      <c r="W3" s="0"/>
      <c r="X3" s="0"/>
      <c r="Y3" s="0"/>
      <c r="Z3" s="0"/>
      <c r="AA3" s="0"/>
      <c r="AB3" s="0"/>
    </row>
    <row r="4" customFormat="false" ht="19.5" hidden="false" customHeight="true" outlineLevel="0" collapsed="false">
      <c r="A4" s="0"/>
      <c r="B4" s="95" t="str">
        <f aca="false">IF(ISBLANK(Directions!C6), "Owner", Directions!C6)</f>
        <v>Owner</v>
      </c>
      <c r="C4" s="95" t="str">
        <f aca="false">IF(ISBLANK(Directions!D6), "Company 1", Directions!D6)</f>
        <v>Company 1</v>
      </c>
      <c r="D4" s="0"/>
      <c r="E4" s="95"/>
      <c r="F4" s="95"/>
      <c r="G4" s="95"/>
      <c r="H4" s="239"/>
      <c r="I4" s="95"/>
      <c r="J4" s="95"/>
      <c r="K4" s="0"/>
      <c r="L4" s="0"/>
      <c r="M4" s="0"/>
      <c r="N4" s="95"/>
      <c r="O4" s="95"/>
      <c r="P4" s="95"/>
      <c r="Q4" s="0"/>
      <c r="R4" s="95"/>
      <c r="S4" s="95"/>
      <c r="T4" s="0"/>
      <c r="U4" s="0"/>
      <c r="V4" s="0"/>
      <c r="W4" s="0"/>
      <c r="X4" s="0"/>
      <c r="Y4" s="0"/>
      <c r="Z4" s="0"/>
      <c r="AA4" s="0"/>
      <c r="AB4" s="0"/>
    </row>
    <row r="5" customFormat="false" ht="13.8" hidden="false" customHeight="fals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row>
    <row r="6" customFormat="false" ht="14.4" hidden="false" customHeight="false" outlineLevel="0" collapsed="false">
      <c r="A6" s="104"/>
      <c r="B6" s="104" t="s">
        <v>90</v>
      </c>
      <c r="C6" s="104" t="str">
        <f aca="false">'3a-SalesForecastYear1'!C16</f>
        <v>Month 1</v>
      </c>
      <c r="D6" s="104" t="str">
        <f aca="false">'3a-SalesForecastYear1'!D16</f>
        <v>Month 2</v>
      </c>
      <c r="E6" s="104" t="str">
        <f aca="false">'3a-SalesForecastYear1'!E16</f>
        <v>Month 3</v>
      </c>
      <c r="F6" s="104" t="str">
        <f aca="false">'3a-SalesForecastYear1'!F16</f>
        <v>Month 4</v>
      </c>
      <c r="G6" s="104" t="str">
        <f aca="false">'3a-SalesForecastYear1'!G16</f>
        <v>Month 5</v>
      </c>
      <c r="H6" s="104" t="str">
        <f aca="false">'3a-SalesForecastYear1'!H16</f>
        <v>Month 6</v>
      </c>
      <c r="I6" s="104" t="str">
        <f aca="false">'3a-SalesForecastYear1'!I16</f>
        <v>Month 7</v>
      </c>
      <c r="J6" s="104" t="str">
        <f aca="false">'3a-SalesForecastYear1'!J16</f>
        <v>Month 8</v>
      </c>
      <c r="K6" s="104" t="str">
        <f aca="false">'3a-SalesForecastYear1'!K16</f>
        <v>Month 9</v>
      </c>
      <c r="L6" s="104" t="str">
        <f aca="false">'3a-SalesForecastYear1'!L16</f>
        <v>Month 10</v>
      </c>
      <c r="M6" s="104" t="str">
        <f aca="false">'3a-SalesForecastYear1'!M16</f>
        <v>Month 11</v>
      </c>
      <c r="N6" s="104" t="str">
        <f aca="false">'3a-SalesForecastYear1'!N16</f>
        <v>Month 12</v>
      </c>
      <c r="O6" s="104" t="s">
        <v>112</v>
      </c>
      <c r="P6" s="104" t="str">
        <f aca="false">C6</f>
        <v>Month 1</v>
      </c>
      <c r="Q6" s="104" t="str">
        <f aca="false">D6</f>
        <v>Month 2</v>
      </c>
      <c r="R6" s="104" t="str">
        <f aca="false">E6</f>
        <v>Month 3</v>
      </c>
      <c r="S6" s="104" t="str">
        <f aca="false">F6</f>
        <v>Month 4</v>
      </c>
      <c r="T6" s="104" t="str">
        <f aca="false">G6</f>
        <v>Month 5</v>
      </c>
      <c r="U6" s="104" t="str">
        <f aca="false">H6</f>
        <v>Month 6</v>
      </c>
      <c r="V6" s="104" t="str">
        <f aca="false">I6</f>
        <v>Month 7</v>
      </c>
      <c r="W6" s="104" t="str">
        <f aca="false">J6</f>
        <v>Month 8</v>
      </c>
      <c r="X6" s="104" t="str">
        <f aca="false">K6</f>
        <v>Month 9</v>
      </c>
      <c r="Y6" s="104" t="str">
        <f aca="false">L6</f>
        <v>Month 10</v>
      </c>
      <c r="Z6" s="104" t="str">
        <f aca="false">M6</f>
        <v>Month 11</v>
      </c>
      <c r="AA6" s="104" t="str">
        <f aca="false">N6</f>
        <v>Month 12</v>
      </c>
      <c r="AB6" s="104" t="s">
        <v>113</v>
      </c>
    </row>
    <row r="7" customFormat="false" ht="14.4" hidden="false" customHeight="false" outlineLevel="0" collapsed="false">
      <c r="A7" s="319" t="s">
        <v>169</v>
      </c>
      <c r="B7" s="319"/>
      <c r="C7" s="314" t="n">
        <f aca="false">Y1EndingCashBal</f>
        <v>0</v>
      </c>
      <c r="D7" s="314" t="n">
        <f aca="false">C32</f>
        <v>0</v>
      </c>
      <c r="E7" s="314" t="n">
        <f aca="false">D32</f>
        <v>0</v>
      </c>
      <c r="F7" s="314" t="n">
        <f aca="false">E32</f>
        <v>0</v>
      </c>
      <c r="G7" s="314" t="n">
        <f aca="false">F32</f>
        <v>0</v>
      </c>
      <c r="H7" s="314" t="n">
        <f aca="false">G32</f>
        <v>0</v>
      </c>
      <c r="I7" s="314" t="n">
        <f aca="false">H32</f>
        <v>0</v>
      </c>
      <c r="J7" s="314" t="n">
        <f aca="false">I32</f>
        <v>0</v>
      </c>
      <c r="K7" s="314" t="n">
        <f aca="false">J32</f>
        <v>0</v>
      </c>
      <c r="L7" s="314" t="n">
        <f aca="false">K32</f>
        <v>0</v>
      </c>
      <c r="M7" s="314" t="n">
        <f aca="false">L32</f>
        <v>0</v>
      </c>
      <c r="N7" s="314" t="n">
        <f aca="false">M32</f>
        <v>0</v>
      </c>
      <c r="O7" s="327"/>
      <c r="P7" s="314" t="n">
        <f aca="false">N32</f>
        <v>0</v>
      </c>
      <c r="Q7" s="314" t="n">
        <f aca="false">P32</f>
        <v>0</v>
      </c>
      <c r="R7" s="314" t="n">
        <f aca="false">Q32</f>
        <v>0</v>
      </c>
      <c r="S7" s="314" t="n">
        <f aca="false">R32</f>
        <v>0</v>
      </c>
      <c r="T7" s="314" t="n">
        <f aca="false">S32</f>
        <v>0</v>
      </c>
      <c r="U7" s="314" t="n">
        <f aca="false">T32</f>
        <v>0</v>
      </c>
      <c r="V7" s="314" t="n">
        <f aca="false">U32</f>
        <v>0</v>
      </c>
      <c r="W7" s="314" t="n">
        <f aca="false">V32</f>
        <v>0</v>
      </c>
      <c r="X7" s="314" t="n">
        <f aca="false">W32</f>
        <v>0</v>
      </c>
      <c r="Y7" s="314" t="n">
        <f aca="false">X32</f>
        <v>0</v>
      </c>
      <c r="Z7" s="314" t="n">
        <f aca="false">Y32</f>
        <v>0</v>
      </c>
      <c r="AA7" s="314" t="n">
        <f aca="false">Z32</f>
        <v>0</v>
      </c>
      <c r="AB7" s="327"/>
    </row>
    <row r="8" customFormat="false" ht="13.8" hidden="false" customHeight="false" outlineLevel="0" collapsed="false">
      <c r="A8" s="321" t="s">
        <v>170</v>
      </c>
      <c r="B8" s="321"/>
      <c r="C8" s="322"/>
      <c r="D8" s="322"/>
      <c r="E8" s="322"/>
      <c r="F8" s="322"/>
      <c r="G8" s="322"/>
      <c r="H8" s="322"/>
      <c r="I8" s="322"/>
      <c r="J8" s="322"/>
      <c r="K8" s="322"/>
      <c r="L8" s="322"/>
      <c r="M8" s="322"/>
      <c r="N8" s="322"/>
      <c r="O8" s="328"/>
      <c r="P8" s="322"/>
      <c r="Q8" s="322"/>
      <c r="R8" s="322"/>
      <c r="S8" s="322"/>
      <c r="T8" s="322"/>
      <c r="U8" s="322"/>
      <c r="V8" s="322"/>
      <c r="W8" s="322"/>
      <c r="X8" s="322"/>
      <c r="Y8" s="322"/>
      <c r="Z8" s="322"/>
      <c r="AA8" s="322"/>
      <c r="AB8" s="328"/>
    </row>
    <row r="9" customFormat="false" ht="13.8" hidden="false" customHeight="false" outlineLevel="0" collapsed="false">
      <c r="A9" s="323" t="s">
        <v>171</v>
      </c>
      <c r="B9" s="329" t="n">
        <f aca="false">'6a-CashFlowYear1'!O10</f>
        <v>0</v>
      </c>
      <c r="C9" s="153" t="n">
        <f aca="false">('3b-SalesForecastYrs1-3'!C47*'4-AdditionalInputs'!$D$9)</f>
        <v>0</v>
      </c>
      <c r="D9" s="153" t="n">
        <f aca="false">('3b-SalesForecastYrs1-3'!D47*'4-AdditionalInputs'!$D$9)</f>
        <v>0</v>
      </c>
      <c r="E9" s="153" t="n">
        <f aca="false">('3b-SalesForecastYrs1-3'!E47*'4-AdditionalInputs'!$D$9)</f>
        <v>0</v>
      </c>
      <c r="F9" s="153" t="n">
        <f aca="false">('3b-SalesForecastYrs1-3'!F47*'4-AdditionalInputs'!$D$9)</f>
        <v>0</v>
      </c>
      <c r="G9" s="153" t="n">
        <f aca="false">('3b-SalesForecastYrs1-3'!G47*'4-AdditionalInputs'!$D$9)</f>
        <v>0</v>
      </c>
      <c r="H9" s="153" t="n">
        <f aca="false">('3b-SalesForecastYrs1-3'!H47*'4-AdditionalInputs'!$D$9)</f>
        <v>0</v>
      </c>
      <c r="I9" s="153" t="n">
        <f aca="false">('3b-SalesForecastYrs1-3'!I47*'4-AdditionalInputs'!$D$9)</f>
        <v>0</v>
      </c>
      <c r="J9" s="153" t="n">
        <f aca="false">('3b-SalesForecastYrs1-3'!J47*'4-AdditionalInputs'!$D$9)</f>
        <v>0</v>
      </c>
      <c r="K9" s="153" t="n">
        <f aca="false">('3b-SalesForecastYrs1-3'!K47*'4-AdditionalInputs'!$D$9)</f>
        <v>0</v>
      </c>
      <c r="L9" s="153" t="n">
        <f aca="false">('3b-SalesForecastYrs1-3'!L47*'4-AdditionalInputs'!$D$9)</f>
        <v>0</v>
      </c>
      <c r="M9" s="153" t="n">
        <f aca="false">('3b-SalesForecastYrs1-3'!M47*'4-AdditionalInputs'!$D$9)</f>
        <v>0</v>
      </c>
      <c r="N9" s="153" t="n">
        <f aca="false">('3b-SalesForecastYrs1-3'!N47*'4-AdditionalInputs'!$D$9)</f>
        <v>0</v>
      </c>
      <c r="O9" s="163" t="n">
        <f aca="false">SUM(C9:N9)</f>
        <v>0</v>
      </c>
      <c r="P9" s="153" t="n">
        <f aca="false">('3b-SalesForecastYrs1-3'!R47*'4-AdditionalInputs'!$E$9)</f>
        <v>0</v>
      </c>
      <c r="Q9" s="153" t="n">
        <f aca="false">('3b-SalesForecastYrs1-3'!S47*'4-AdditionalInputs'!$E$9)</f>
        <v>0</v>
      </c>
      <c r="R9" s="153" t="n">
        <f aca="false">('3b-SalesForecastYrs1-3'!T47*'4-AdditionalInputs'!$E$9)</f>
        <v>0</v>
      </c>
      <c r="S9" s="153" t="n">
        <f aca="false">('3b-SalesForecastYrs1-3'!U47*'4-AdditionalInputs'!$E$9)</f>
        <v>0</v>
      </c>
      <c r="T9" s="153" t="n">
        <f aca="false">('3b-SalesForecastYrs1-3'!V47*'4-AdditionalInputs'!$E$9)</f>
        <v>0</v>
      </c>
      <c r="U9" s="153" t="n">
        <f aca="false">('3b-SalesForecastYrs1-3'!W47*'4-AdditionalInputs'!$E$9)</f>
        <v>0</v>
      </c>
      <c r="V9" s="153" t="n">
        <f aca="false">('3b-SalesForecastYrs1-3'!X47*'4-AdditionalInputs'!$E$9)</f>
        <v>0</v>
      </c>
      <c r="W9" s="153" t="n">
        <f aca="false">('3b-SalesForecastYrs1-3'!Y47*'4-AdditionalInputs'!$E$9)</f>
        <v>0</v>
      </c>
      <c r="X9" s="153" t="n">
        <f aca="false">('3b-SalesForecastYrs1-3'!Z47*'4-AdditionalInputs'!$E$9)</f>
        <v>0</v>
      </c>
      <c r="Y9" s="153" t="n">
        <f aca="false">('3b-SalesForecastYrs1-3'!AA47*'4-AdditionalInputs'!$E$9)</f>
        <v>0</v>
      </c>
      <c r="Z9" s="153" t="n">
        <f aca="false">('3b-SalesForecastYrs1-3'!AB47*'4-AdditionalInputs'!$E$9)</f>
        <v>0</v>
      </c>
      <c r="AA9" s="153" t="n">
        <f aca="false">('3b-SalesForecastYrs1-3'!AC47*'4-AdditionalInputs'!$E$9)</f>
        <v>0</v>
      </c>
      <c r="AB9" s="163" t="n">
        <f aca="false">SUM(P9:AA9)</f>
        <v>0</v>
      </c>
    </row>
    <row r="10" customFormat="false" ht="13.8" hidden="false" customHeight="false" outlineLevel="0" collapsed="false">
      <c r="A10" s="323" t="s">
        <v>172</v>
      </c>
      <c r="B10" s="329" t="n">
        <f aca="false">'6a-CashFlowYear1'!O11</f>
        <v>0</v>
      </c>
      <c r="C10" s="153" t="n">
        <f aca="false">('3a-SalesForecastYear1'!M53*'4-AdditionalInputs'!D11)+('3a-SalesForecastYear1'!N53*'4-AdditionalInputs'!D10)</f>
        <v>0</v>
      </c>
      <c r="D10" s="153" t="n">
        <f aca="false">('3a-SalesForecastYear1'!N53*'4-AdditionalInputs'!$D$11)+('3b-SalesForecastYrs1-3'!C47*'4-AdditionalInputs'!$D$10)</f>
        <v>0</v>
      </c>
      <c r="E10" s="153" t="n">
        <f aca="false">('3b-SalesForecastYrs1-3'!C47*'4-AdditionalInputs'!$D$11)+('3b-SalesForecastYrs1-3'!D47*'4-AdditionalInputs'!$D$10)</f>
        <v>0</v>
      </c>
      <c r="F10" s="153" t="n">
        <f aca="false">('3b-SalesForecastYrs1-3'!D47*'4-AdditionalInputs'!$D$11)+('3b-SalesForecastYrs1-3'!E47*'4-AdditionalInputs'!$D$10)</f>
        <v>0</v>
      </c>
      <c r="G10" s="153" t="n">
        <f aca="false">('3b-SalesForecastYrs1-3'!E47*'4-AdditionalInputs'!$D$11)+('3b-SalesForecastYrs1-3'!F47*'4-AdditionalInputs'!$D$10)</f>
        <v>0</v>
      </c>
      <c r="H10" s="153" t="n">
        <f aca="false">('3b-SalesForecastYrs1-3'!F47*'4-AdditionalInputs'!$D$11)+('3b-SalesForecastYrs1-3'!G47*'4-AdditionalInputs'!$D$10)</f>
        <v>0</v>
      </c>
      <c r="I10" s="153" t="n">
        <f aca="false">('3b-SalesForecastYrs1-3'!G47*'4-AdditionalInputs'!$D$11)+('3b-SalesForecastYrs1-3'!H47*'4-AdditionalInputs'!$D$10)</f>
        <v>0</v>
      </c>
      <c r="J10" s="153" t="n">
        <f aca="false">('3b-SalesForecastYrs1-3'!H47*'4-AdditionalInputs'!$D$11)+('3b-SalesForecastYrs1-3'!I47*'4-AdditionalInputs'!$D$10)</f>
        <v>0</v>
      </c>
      <c r="K10" s="153" t="n">
        <f aca="false">('3b-SalesForecastYrs1-3'!I47*'4-AdditionalInputs'!$D$11)+('3b-SalesForecastYrs1-3'!J47*'4-AdditionalInputs'!$D$10)</f>
        <v>0</v>
      </c>
      <c r="L10" s="153" t="n">
        <f aca="false">('3b-SalesForecastYrs1-3'!J47*'4-AdditionalInputs'!$D$11)+('3b-SalesForecastYrs1-3'!K47*'4-AdditionalInputs'!$D$10)</f>
        <v>0</v>
      </c>
      <c r="M10" s="153" t="n">
        <f aca="false">('3b-SalesForecastYrs1-3'!K47*'4-AdditionalInputs'!$D$11)+('3b-SalesForecastYrs1-3'!L47*'4-AdditionalInputs'!$D$10)</f>
        <v>0</v>
      </c>
      <c r="N10" s="153" t="n">
        <f aca="false">('3b-SalesForecastYrs1-3'!L47*'4-AdditionalInputs'!$D$11)+('3b-SalesForecastYrs1-3'!M47*'4-AdditionalInputs'!$D$10)</f>
        <v>0</v>
      </c>
      <c r="O10" s="163" t="n">
        <f aca="false">SUM(C10:N10)</f>
        <v>0</v>
      </c>
      <c r="P10" s="153" t="n">
        <f aca="false">('3b-SalesForecastYrs1-3'!M47*'4-AdditionalInputs'!E11)+('3b-SalesForecastYrs1-3'!N47*'4-AdditionalInputs'!E10)</f>
        <v>0</v>
      </c>
      <c r="Q10" s="153" t="n">
        <f aca="false">('3b-SalesForecastYrs1-3'!N47*'4-AdditionalInputs'!E11)+('3b-SalesForecastYrs1-3'!R47*'4-AdditionalInputs'!E10)</f>
        <v>0</v>
      </c>
      <c r="R10" s="153" t="n">
        <f aca="false">('3b-SalesForecastYrs1-3'!R47*'4-AdditionalInputs'!$E$11)+('3b-SalesForecastYrs1-3'!S47*'4-AdditionalInputs'!$E$10)</f>
        <v>0</v>
      </c>
      <c r="S10" s="153" t="n">
        <f aca="false">('3b-SalesForecastYrs1-3'!S47*'4-AdditionalInputs'!$E$11)+('3b-SalesForecastYrs1-3'!T47*'4-AdditionalInputs'!$E$10)</f>
        <v>0</v>
      </c>
      <c r="T10" s="153" t="n">
        <f aca="false">('3b-SalesForecastYrs1-3'!T47*'4-AdditionalInputs'!$E$11)+('3b-SalesForecastYrs1-3'!U47*'4-AdditionalInputs'!$E$10)</f>
        <v>0</v>
      </c>
      <c r="U10" s="153" t="n">
        <f aca="false">('3b-SalesForecastYrs1-3'!U47*'4-AdditionalInputs'!$E$11)+('3b-SalesForecastYrs1-3'!V47*'4-AdditionalInputs'!$E$10)</f>
        <v>0</v>
      </c>
      <c r="V10" s="153" t="n">
        <f aca="false">('3b-SalesForecastYrs1-3'!V47*'4-AdditionalInputs'!$E$11)+('3b-SalesForecastYrs1-3'!W47*'4-AdditionalInputs'!$E$10)</f>
        <v>0</v>
      </c>
      <c r="W10" s="153" t="n">
        <f aca="false">('3b-SalesForecastYrs1-3'!W47*'4-AdditionalInputs'!$E$11)+('3b-SalesForecastYrs1-3'!X47*'4-AdditionalInputs'!$E$10)</f>
        <v>0</v>
      </c>
      <c r="X10" s="153" t="n">
        <f aca="false">('3b-SalesForecastYrs1-3'!X47*'4-AdditionalInputs'!$E$11)+('3b-SalesForecastYrs1-3'!Y47*'4-AdditionalInputs'!$E$10)</f>
        <v>0</v>
      </c>
      <c r="Y10" s="153" t="n">
        <f aca="false">('3b-SalesForecastYrs1-3'!Y47*'4-AdditionalInputs'!$E$11)+('3b-SalesForecastYrs1-3'!Z47*'4-AdditionalInputs'!$E$10)</f>
        <v>0</v>
      </c>
      <c r="Z10" s="153" t="n">
        <f aca="false">('3b-SalesForecastYrs1-3'!Z47*'4-AdditionalInputs'!$E$11)+('3b-SalesForecastYrs1-3'!AA47*'4-AdditionalInputs'!$E$10)</f>
        <v>0</v>
      </c>
      <c r="AA10" s="153" t="n">
        <f aca="false">('3b-SalesForecastYrs1-3'!AA47*'4-AdditionalInputs'!$E$11)+('3b-SalesForecastYrs1-3'!AB47*'4-AdditionalInputs'!$E$10)</f>
        <v>0</v>
      </c>
      <c r="AB10" s="163" t="n">
        <f aca="false">SUM(P10:AA10)</f>
        <v>0</v>
      </c>
    </row>
    <row r="11" customFormat="false" ht="13.8" hidden="false" customHeight="false" outlineLevel="0" collapsed="false">
      <c r="A11" s="120" t="s">
        <v>173</v>
      </c>
      <c r="B11" s="329" t="n">
        <f aca="false">'6a-CashFlowYear1'!O12</f>
        <v>0</v>
      </c>
      <c r="C11" s="156" t="n">
        <f aca="false">SUM(C9:C10)</f>
        <v>0</v>
      </c>
      <c r="D11" s="156" t="n">
        <f aca="false">SUM(D9:D10)</f>
        <v>0</v>
      </c>
      <c r="E11" s="156" t="n">
        <f aca="false">SUM(E9:E10)</f>
        <v>0</v>
      </c>
      <c r="F11" s="156" t="n">
        <f aca="false">SUM(F9:F10)</f>
        <v>0</v>
      </c>
      <c r="G11" s="156" t="n">
        <f aca="false">SUM(G9:G10)</f>
        <v>0</v>
      </c>
      <c r="H11" s="156" t="n">
        <f aca="false">SUM(H9:H10)</f>
        <v>0</v>
      </c>
      <c r="I11" s="156" t="n">
        <f aca="false">SUM(I9:I10)</f>
        <v>0</v>
      </c>
      <c r="J11" s="156" t="n">
        <f aca="false">SUM(J9:J10)</f>
        <v>0</v>
      </c>
      <c r="K11" s="156" t="n">
        <f aca="false">SUM(K9:K10)</f>
        <v>0</v>
      </c>
      <c r="L11" s="156" t="n">
        <f aca="false">SUM(L9:L10)</f>
        <v>0</v>
      </c>
      <c r="M11" s="156" t="n">
        <f aca="false">SUM(M9:M10)</f>
        <v>0</v>
      </c>
      <c r="N11" s="156" t="n">
        <f aca="false">SUM(N9:N10)</f>
        <v>0</v>
      </c>
      <c r="O11" s="163" t="n">
        <f aca="false">SUM(O9:O10)</f>
        <v>0</v>
      </c>
      <c r="P11" s="153" t="n">
        <f aca="false">SUM(P9:P10)</f>
        <v>0</v>
      </c>
      <c r="Q11" s="153" t="n">
        <f aca="false">SUM(Q9:Q10)</f>
        <v>0</v>
      </c>
      <c r="R11" s="153" t="n">
        <f aca="false">SUM(R9:R10)</f>
        <v>0</v>
      </c>
      <c r="S11" s="153" t="n">
        <f aca="false">SUM(S9:S10)</f>
        <v>0</v>
      </c>
      <c r="T11" s="153" t="n">
        <f aca="false">SUM(T9:T10)</f>
        <v>0</v>
      </c>
      <c r="U11" s="153" t="n">
        <f aca="false">SUM(U9:U10)</f>
        <v>0</v>
      </c>
      <c r="V11" s="153" t="n">
        <f aca="false">SUM(V9:V10)</f>
        <v>0</v>
      </c>
      <c r="W11" s="153" t="n">
        <f aca="false">SUM(W9:W10)</f>
        <v>0</v>
      </c>
      <c r="X11" s="153" t="n">
        <f aca="false">SUM(X9:X10)</f>
        <v>0</v>
      </c>
      <c r="Y11" s="153" t="n">
        <f aca="false">SUM(Y9:Y10)</f>
        <v>0</v>
      </c>
      <c r="Z11" s="153" t="n">
        <f aca="false">SUM(Z9:Z10)</f>
        <v>0</v>
      </c>
      <c r="AA11" s="153" t="n">
        <f aca="false">SUM(AA9:AA10)</f>
        <v>0</v>
      </c>
      <c r="AB11" s="163" t="n">
        <f aca="false">SUM(AB9:AB10)</f>
        <v>0</v>
      </c>
    </row>
    <row r="12" customFormat="false" ht="13.8" hidden="false" customHeight="false" outlineLevel="0" collapsed="false">
      <c r="A12" s="120"/>
      <c r="B12" s="329"/>
      <c r="C12" s="153"/>
      <c r="D12" s="153"/>
      <c r="E12" s="153"/>
      <c r="F12" s="153"/>
      <c r="G12" s="153"/>
      <c r="H12" s="153"/>
      <c r="I12" s="153"/>
      <c r="J12" s="153"/>
      <c r="K12" s="153"/>
      <c r="L12" s="153"/>
      <c r="M12" s="153"/>
      <c r="N12" s="153"/>
      <c r="O12" s="163"/>
      <c r="P12" s="153"/>
      <c r="Q12" s="153"/>
      <c r="R12" s="153"/>
      <c r="S12" s="153"/>
      <c r="T12" s="153"/>
      <c r="U12" s="153"/>
      <c r="V12" s="153"/>
      <c r="W12" s="153"/>
      <c r="X12" s="153"/>
      <c r="Y12" s="153"/>
      <c r="Z12" s="153"/>
      <c r="AA12" s="153"/>
      <c r="AB12" s="163"/>
    </row>
    <row r="13" customFormat="false" ht="13.8" hidden="false" customHeight="false" outlineLevel="0" collapsed="false">
      <c r="A13" s="321" t="s">
        <v>174</v>
      </c>
      <c r="B13" s="329"/>
      <c r="C13" s="153"/>
      <c r="D13" s="153"/>
      <c r="E13" s="153"/>
      <c r="F13" s="153"/>
      <c r="G13" s="153"/>
      <c r="H13" s="153"/>
      <c r="I13" s="153"/>
      <c r="J13" s="153"/>
      <c r="K13" s="153"/>
      <c r="L13" s="153"/>
      <c r="M13" s="153"/>
      <c r="N13" s="153"/>
      <c r="O13" s="163"/>
      <c r="P13" s="153"/>
      <c r="Q13" s="153"/>
      <c r="R13" s="153"/>
      <c r="S13" s="153"/>
      <c r="T13" s="153"/>
      <c r="U13" s="153"/>
      <c r="V13" s="153"/>
      <c r="W13" s="153"/>
      <c r="X13" s="153"/>
      <c r="Y13" s="153"/>
      <c r="Z13" s="153"/>
      <c r="AA13" s="153"/>
      <c r="AB13" s="163"/>
    </row>
    <row r="14" customFormat="false" ht="13.8" hidden="false" customHeight="false" outlineLevel="0" collapsed="false">
      <c r="A14" s="323" t="s">
        <v>175</v>
      </c>
      <c r="B14" s="329"/>
      <c r="C14" s="153"/>
      <c r="D14" s="153"/>
      <c r="E14" s="153"/>
      <c r="F14" s="153"/>
      <c r="G14" s="153"/>
      <c r="H14" s="153"/>
      <c r="I14" s="153"/>
      <c r="J14" s="153"/>
      <c r="K14" s="153"/>
      <c r="L14" s="153"/>
      <c r="M14" s="153"/>
      <c r="N14" s="153"/>
      <c r="O14" s="163"/>
      <c r="P14" s="153"/>
      <c r="Q14" s="153"/>
      <c r="R14" s="153"/>
      <c r="S14" s="153"/>
      <c r="T14" s="153"/>
      <c r="U14" s="153"/>
      <c r="V14" s="153"/>
      <c r="W14" s="153"/>
      <c r="X14" s="153"/>
      <c r="Y14" s="153"/>
      <c r="Z14" s="153"/>
      <c r="AA14" s="153"/>
      <c r="AB14" s="163"/>
    </row>
    <row r="15" customFormat="false" ht="13.8" hidden="false" customHeight="false" outlineLevel="0" collapsed="false">
      <c r="A15" s="324" t="s">
        <v>176</v>
      </c>
      <c r="B15" s="329" t="n">
        <f aca="false">'6a-CashFlowYear1'!O16</f>
        <v>0</v>
      </c>
      <c r="C15" s="153" t="n">
        <f aca="false">'4-AdditionalInputs'!$Q$35/12</f>
        <v>0</v>
      </c>
      <c r="D15" s="153" t="n">
        <f aca="false">'4-AdditionalInputs'!$Q$35/12</f>
        <v>0</v>
      </c>
      <c r="E15" s="153" t="n">
        <f aca="false">'4-AdditionalInputs'!$Q$35/12</f>
        <v>0</v>
      </c>
      <c r="F15" s="153" t="n">
        <f aca="false">'4-AdditionalInputs'!$Q$35/12</f>
        <v>0</v>
      </c>
      <c r="G15" s="153" t="n">
        <f aca="false">'4-AdditionalInputs'!$Q$35/12</f>
        <v>0</v>
      </c>
      <c r="H15" s="153" t="n">
        <f aca="false">'4-AdditionalInputs'!$Q$35/12</f>
        <v>0</v>
      </c>
      <c r="I15" s="153" t="n">
        <f aca="false">'4-AdditionalInputs'!$Q$35/12</f>
        <v>0</v>
      </c>
      <c r="J15" s="153" t="n">
        <f aca="false">'4-AdditionalInputs'!$Q$35/12</f>
        <v>0</v>
      </c>
      <c r="K15" s="153" t="n">
        <f aca="false">'4-AdditionalInputs'!$Q$35/12</f>
        <v>0</v>
      </c>
      <c r="L15" s="153" t="n">
        <f aca="false">'4-AdditionalInputs'!$Q$35/12</f>
        <v>0</v>
      </c>
      <c r="M15" s="153" t="n">
        <f aca="false">'4-AdditionalInputs'!$Q$35/12</f>
        <v>0</v>
      </c>
      <c r="N15" s="153" t="n">
        <f aca="false">'4-AdditionalInputs'!$Q$35/12</f>
        <v>0</v>
      </c>
      <c r="O15" s="163" t="n">
        <f aca="false">SUM(C15:N15)</f>
        <v>0</v>
      </c>
      <c r="P15" s="153" t="n">
        <f aca="false">'4-AdditionalInputs'!$R$35/12</f>
        <v>0</v>
      </c>
      <c r="Q15" s="153" t="n">
        <f aca="false">'4-AdditionalInputs'!$R$35/12</f>
        <v>0</v>
      </c>
      <c r="R15" s="153" t="n">
        <f aca="false">'4-AdditionalInputs'!$R$35/12</f>
        <v>0</v>
      </c>
      <c r="S15" s="153" t="n">
        <f aca="false">'4-AdditionalInputs'!$R$35/12</f>
        <v>0</v>
      </c>
      <c r="T15" s="153" t="n">
        <f aca="false">'4-AdditionalInputs'!$R$35/12</f>
        <v>0</v>
      </c>
      <c r="U15" s="153" t="n">
        <f aca="false">'4-AdditionalInputs'!$R$35/12</f>
        <v>0</v>
      </c>
      <c r="V15" s="153" t="n">
        <f aca="false">'4-AdditionalInputs'!$R$35/12</f>
        <v>0</v>
      </c>
      <c r="W15" s="153" t="n">
        <f aca="false">'4-AdditionalInputs'!$R$35/12</f>
        <v>0</v>
      </c>
      <c r="X15" s="153" t="n">
        <f aca="false">'4-AdditionalInputs'!$R$35/12</f>
        <v>0</v>
      </c>
      <c r="Y15" s="153" t="n">
        <f aca="false">'4-AdditionalInputs'!$R$35/12</f>
        <v>0</v>
      </c>
      <c r="Z15" s="153" t="n">
        <f aca="false">'4-AdditionalInputs'!$R$35/12</f>
        <v>0</v>
      </c>
      <c r="AA15" s="153" t="n">
        <f aca="false">'4-AdditionalInputs'!$R$35/12</f>
        <v>0</v>
      </c>
      <c r="AB15" s="163" t="n">
        <f aca="false">SUM(P15:AA15)</f>
        <v>0</v>
      </c>
    </row>
    <row r="16" customFormat="false" ht="13.8" hidden="false" customHeight="false" outlineLevel="0" collapsed="false">
      <c r="A16" s="324" t="s">
        <v>177</v>
      </c>
      <c r="B16" s="329" t="n">
        <f aca="false">+'6a-CashFlowYear1'!O17</f>
        <v>0</v>
      </c>
      <c r="C16" s="290"/>
      <c r="D16" s="290"/>
      <c r="E16" s="290"/>
      <c r="F16" s="290"/>
      <c r="G16" s="290"/>
      <c r="H16" s="290"/>
      <c r="I16" s="290"/>
      <c r="J16" s="290"/>
      <c r="K16" s="290"/>
      <c r="L16" s="290"/>
      <c r="M16" s="290"/>
      <c r="N16" s="290"/>
      <c r="O16" s="163" t="n">
        <f aca="false">SUM(C16:N16)</f>
        <v>0</v>
      </c>
      <c r="P16" s="290"/>
      <c r="Q16" s="290"/>
      <c r="R16" s="290"/>
      <c r="S16" s="290"/>
      <c r="T16" s="290"/>
      <c r="U16" s="290"/>
      <c r="V16" s="290"/>
      <c r="W16" s="290"/>
      <c r="X16" s="290"/>
      <c r="Y16" s="290"/>
      <c r="Z16" s="290"/>
      <c r="AA16" s="290"/>
      <c r="AB16" s="163" t="n">
        <f aca="false">SUM(P16:AA16)</f>
        <v>0</v>
      </c>
    </row>
    <row r="17" customFormat="false" ht="13.8" hidden="false" customHeight="false" outlineLevel="0" collapsed="false">
      <c r="A17" s="324" t="s">
        <v>178</v>
      </c>
      <c r="B17" s="329" t="n">
        <f aca="false">'6a-CashFlowYear1'!O18</f>
        <v>0</v>
      </c>
      <c r="C17" s="153" t="n">
        <f aca="false">('3b-SalesForecastYrs1-3'!C48*'4-AdditionalInputs'!$D$17)+('3a-SalesForecastYear1'!N54*'4-AdditionalInputs'!$D$18)+('3a-SalesForecastYear1'!M54*'4-AdditionalInputs'!$D$19)</f>
        <v>0</v>
      </c>
      <c r="D17" s="153" t="n">
        <f aca="false">('3b-SalesForecastYrs1-3'!D48*'4-AdditionalInputs'!$D$17)+('3b-SalesForecastYrs1-3'!C48*'4-AdditionalInputs'!$D$18)+('3a-SalesForecastYear1'!N54*'4-AdditionalInputs'!$D$19)</f>
        <v>0</v>
      </c>
      <c r="E17" s="153" t="n">
        <f aca="false">('3b-SalesForecastYrs1-3'!E48*'4-AdditionalInputs'!$D$17)+('3b-SalesForecastYrs1-3'!D48*'4-AdditionalInputs'!$D$18)+('3b-SalesForecastYrs1-3'!C48*'4-AdditionalInputs'!$D$19)</f>
        <v>0</v>
      </c>
      <c r="F17" s="153" t="n">
        <f aca="false">('3b-SalesForecastYrs1-3'!F48*'4-AdditionalInputs'!$D$17)+('3b-SalesForecastYrs1-3'!E48*'4-AdditionalInputs'!$D$18)+('3b-SalesForecastYrs1-3'!D48*'4-AdditionalInputs'!$D$19)</f>
        <v>0</v>
      </c>
      <c r="G17" s="153" t="n">
        <f aca="false">('3b-SalesForecastYrs1-3'!G48*'4-AdditionalInputs'!$D$17)+('3b-SalesForecastYrs1-3'!F48*'4-AdditionalInputs'!$D$18)+('3b-SalesForecastYrs1-3'!E48*'4-AdditionalInputs'!$D$19)</f>
        <v>0</v>
      </c>
      <c r="H17" s="153" t="n">
        <f aca="false">('3b-SalesForecastYrs1-3'!H48*'4-AdditionalInputs'!$D$17)+('3b-SalesForecastYrs1-3'!G48*'4-AdditionalInputs'!$D$18)+('3b-SalesForecastYrs1-3'!F48*'4-AdditionalInputs'!$D$19)</f>
        <v>0</v>
      </c>
      <c r="I17" s="153" t="n">
        <f aca="false">('3b-SalesForecastYrs1-3'!I48*'4-AdditionalInputs'!$D$17)+('3b-SalesForecastYrs1-3'!H48*'4-AdditionalInputs'!$D$18)+('3b-SalesForecastYrs1-3'!G48*'4-AdditionalInputs'!$D$19)</f>
        <v>0</v>
      </c>
      <c r="J17" s="153" t="n">
        <f aca="false">('3b-SalesForecastYrs1-3'!J48*'4-AdditionalInputs'!$D$17)+('3b-SalesForecastYrs1-3'!I48*'4-AdditionalInputs'!$D$18)+('3b-SalesForecastYrs1-3'!H48*'4-AdditionalInputs'!$D$19)</f>
        <v>0</v>
      </c>
      <c r="K17" s="153" t="n">
        <f aca="false">('3b-SalesForecastYrs1-3'!K48*'4-AdditionalInputs'!$D$17)+('3b-SalesForecastYrs1-3'!J48*'4-AdditionalInputs'!$D$18)+('3b-SalesForecastYrs1-3'!I48*'4-AdditionalInputs'!$D$19)</f>
        <v>0</v>
      </c>
      <c r="L17" s="153" t="n">
        <f aca="false">('3b-SalesForecastYrs1-3'!L48*'4-AdditionalInputs'!$D$17)+('3b-SalesForecastYrs1-3'!K48*'4-AdditionalInputs'!$D$18)+('3b-SalesForecastYrs1-3'!J48*'4-AdditionalInputs'!$D$19)</f>
        <v>0</v>
      </c>
      <c r="M17" s="153" t="n">
        <f aca="false">('3b-SalesForecastYrs1-3'!M48*'4-AdditionalInputs'!$D$17)+('3b-SalesForecastYrs1-3'!L48*'4-AdditionalInputs'!$D$18)+('3b-SalesForecastYrs1-3'!K48*'4-AdditionalInputs'!$D$19)</f>
        <v>0</v>
      </c>
      <c r="N17" s="153" t="n">
        <f aca="false">('3b-SalesForecastYrs1-3'!N48*'4-AdditionalInputs'!$D$17)+('3b-SalesForecastYrs1-3'!M48*'4-AdditionalInputs'!$D$18)+('3b-SalesForecastYrs1-3'!L48*'4-AdditionalInputs'!$D$19)</f>
        <v>0</v>
      </c>
      <c r="O17" s="163" t="n">
        <f aca="false">SUM(C17:N17)</f>
        <v>0</v>
      </c>
      <c r="P17" s="153" t="n">
        <f aca="false">('3b-SalesForecastYrs1-3'!R48*'4-AdditionalInputs'!$E$17)+('3b-SalesForecastYrs1-3'!N48*'4-AdditionalInputs'!$E$18)+('3b-SalesForecastYrs1-3'!M48*'4-AdditionalInputs'!$E$19)</f>
        <v>0</v>
      </c>
      <c r="Q17" s="153" t="n">
        <f aca="false">('3b-SalesForecastYrs1-3'!S48*'4-AdditionalInputs'!$E$17)+('3b-SalesForecastYrs1-3'!R48*'4-AdditionalInputs'!$E$18)+('3b-SalesForecastYrs1-3'!N48*'4-AdditionalInputs'!$E$19)</f>
        <v>0</v>
      </c>
      <c r="R17" s="153" t="n">
        <f aca="false">('3b-SalesForecastYrs1-3'!T48*'4-AdditionalInputs'!$E$17)+('3b-SalesForecastYrs1-3'!S48*'4-AdditionalInputs'!$E$18)+('3b-SalesForecastYrs1-3'!R48*'4-AdditionalInputs'!$E$19)</f>
        <v>0</v>
      </c>
      <c r="S17" s="153" t="n">
        <f aca="false">('3b-SalesForecastYrs1-3'!U48*'4-AdditionalInputs'!$E$17)+('3b-SalesForecastYrs1-3'!T48*'4-AdditionalInputs'!$E$18)+('3b-SalesForecastYrs1-3'!S48*'4-AdditionalInputs'!$E$19)</f>
        <v>0</v>
      </c>
      <c r="T17" s="153" t="n">
        <f aca="false">('3b-SalesForecastYrs1-3'!V48*'4-AdditionalInputs'!$E$17)+('3b-SalesForecastYrs1-3'!U48*'4-AdditionalInputs'!$E$18)+('3b-SalesForecastYrs1-3'!T48*'4-AdditionalInputs'!$E$19)</f>
        <v>0</v>
      </c>
      <c r="U17" s="153" t="n">
        <f aca="false">('3b-SalesForecastYrs1-3'!W48*'4-AdditionalInputs'!$E$17)+('3b-SalesForecastYrs1-3'!V48*'4-AdditionalInputs'!$E$18)+('3b-SalesForecastYrs1-3'!U48*'4-AdditionalInputs'!$E$19)</f>
        <v>0</v>
      </c>
      <c r="V17" s="153" t="n">
        <f aca="false">('3b-SalesForecastYrs1-3'!X48*'4-AdditionalInputs'!$E$17)+('3b-SalesForecastYrs1-3'!W48*'4-AdditionalInputs'!$E$18)+('3b-SalesForecastYrs1-3'!V48*'4-AdditionalInputs'!$E$19)</f>
        <v>0</v>
      </c>
      <c r="W17" s="153" t="n">
        <f aca="false">('3b-SalesForecastYrs1-3'!Y48*'4-AdditionalInputs'!$E$17)+('3b-SalesForecastYrs1-3'!X48*'4-AdditionalInputs'!$E$18)+('3b-SalesForecastYrs1-3'!W48*'4-AdditionalInputs'!$E$19)</f>
        <v>0</v>
      </c>
      <c r="X17" s="153" t="n">
        <f aca="false">('3b-SalesForecastYrs1-3'!Z48*'4-AdditionalInputs'!$E$17)+('3b-SalesForecastYrs1-3'!Y48*'4-AdditionalInputs'!$E$18)+('3b-SalesForecastYrs1-3'!X48*'4-AdditionalInputs'!$E$19)</f>
        <v>0</v>
      </c>
      <c r="Y17" s="153" t="n">
        <f aca="false">('3b-SalesForecastYrs1-3'!AA48*'4-AdditionalInputs'!$E$17)+('3b-SalesForecastYrs1-3'!Z48*'4-AdditionalInputs'!$E$18)+('3b-SalesForecastYrs1-3'!Y48*'4-AdditionalInputs'!$E$19)</f>
        <v>0</v>
      </c>
      <c r="Z17" s="153" t="n">
        <f aca="false">('3b-SalesForecastYrs1-3'!AB48*'4-AdditionalInputs'!$E$17)+('3b-SalesForecastYrs1-3'!AA48*'4-AdditionalInputs'!$E$18)+('3b-SalesForecastYrs1-3'!Z48*'4-AdditionalInputs'!$E$19)</f>
        <v>0</v>
      </c>
      <c r="AA17" s="153" t="n">
        <f aca="false">('3b-SalesForecastYrs1-3'!AC48*'4-AdditionalInputs'!$E$17)+('3b-SalesForecastYrs1-3'!AB48*'4-AdditionalInputs'!$E$18)+('3b-SalesForecastYrs1-3'!AA48*'4-AdditionalInputs'!$E$19)</f>
        <v>0</v>
      </c>
      <c r="AB17" s="163" t="n">
        <f aca="false">SUM(P17:AA17)</f>
        <v>0</v>
      </c>
    </row>
    <row r="18" customFormat="false" ht="13.8" hidden="false" customHeight="false" outlineLevel="0" collapsed="false">
      <c r="A18" s="323" t="s">
        <v>179</v>
      </c>
      <c r="B18" s="329"/>
      <c r="C18" s="153"/>
      <c r="D18" s="153"/>
      <c r="E18" s="153"/>
      <c r="F18" s="153"/>
      <c r="G18" s="153"/>
      <c r="H18" s="153"/>
      <c r="I18" s="153"/>
      <c r="J18" s="153"/>
      <c r="K18" s="153"/>
      <c r="L18" s="153"/>
      <c r="M18" s="153"/>
      <c r="N18" s="153"/>
      <c r="O18" s="163"/>
      <c r="P18" s="153"/>
      <c r="Q18" s="153"/>
      <c r="R18" s="153"/>
      <c r="S18" s="153"/>
      <c r="T18" s="153"/>
      <c r="U18" s="153"/>
      <c r="V18" s="153"/>
      <c r="W18" s="153"/>
      <c r="X18" s="153"/>
      <c r="Y18" s="153"/>
      <c r="Z18" s="153"/>
      <c r="AA18" s="153"/>
      <c r="AB18" s="163"/>
    </row>
    <row r="19" customFormat="false" ht="13.8" hidden="false" customHeight="false" outlineLevel="0" collapsed="false">
      <c r="A19" s="324" t="s">
        <v>180</v>
      </c>
      <c r="B19" s="329" t="n">
        <f aca="false">'6a-CashFlowYear1'!O20</f>
        <v>0</v>
      </c>
      <c r="C19" s="153" t="n">
        <f aca="false">SUM('5b-OpExYrs1-3'!$E8:$E22)/12</f>
        <v>0</v>
      </c>
      <c r="D19" s="153" t="n">
        <f aca="false">SUM('5b-OpExYrs1-3'!$E8:$E22)/12</f>
        <v>0</v>
      </c>
      <c r="E19" s="153" t="n">
        <f aca="false">SUM('5b-OpExYrs1-3'!$E8:$E22)/12</f>
        <v>0</v>
      </c>
      <c r="F19" s="153" t="n">
        <f aca="false">SUM('5b-OpExYrs1-3'!$E8:$E22)/12</f>
        <v>0</v>
      </c>
      <c r="G19" s="153" t="n">
        <f aca="false">SUM('5b-OpExYrs1-3'!$E8:$E22)/12</f>
        <v>0</v>
      </c>
      <c r="H19" s="153" t="n">
        <f aca="false">SUM('5b-OpExYrs1-3'!$E8:$E22)/12</f>
        <v>0</v>
      </c>
      <c r="I19" s="153" t="n">
        <f aca="false">SUM('5b-OpExYrs1-3'!$E8:$E22)/12</f>
        <v>0</v>
      </c>
      <c r="J19" s="153" t="n">
        <f aca="false">SUM('5b-OpExYrs1-3'!$E8:$E22)/12</f>
        <v>0</v>
      </c>
      <c r="K19" s="153" t="n">
        <f aca="false">SUM('5b-OpExYrs1-3'!$E8:$E22)/12</f>
        <v>0</v>
      </c>
      <c r="L19" s="153" t="n">
        <f aca="false">SUM('5b-OpExYrs1-3'!$E8:$E22)/12</f>
        <v>0</v>
      </c>
      <c r="M19" s="153" t="n">
        <f aca="false">SUM('5b-OpExYrs1-3'!$E8:$E22)/12</f>
        <v>0</v>
      </c>
      <c r="N19" s="153" t="n">
        <f aca="false">SUM('5b-OpExYrs1-3'!$E8:$E22)/12</f>
        <v>0</v>
      </c>
      <c r="O19" s="163" t="n">
        <f aca="false">SUM(C19:N19)</f>
        <v>0</v>
      </c>
      <c r="P19" s="153" t="n">
        <f aca="false">SUM('5b-OpExYrs1-3'!$G8:$G22)/12</f>
        <v>0</v>
      </c>
      <c r="Q19" s="153" t="n">
        <f aca="false">SUM('5b-OpExYrs1-3'!$G8:$G22)/12</f>
        <v>0</v>
      </c>
      <c r="R19" s="153" t="n">
        <f aca="false">SUM('5b-OpExYrs1-3'!$G8:$G22)/12</f>
        <v>0</v>
      </c>
      <c r="S19" s="153" t="n">
        <f aca="false">SUM('5b-OpExYrs1-3'!$G8:$G22)/12</f>
        <v>0</v>
      </c>
      <c r="T19" s="153" t="n">
        <f aca="false">SUM('5b-OpExYrs1-3'!$G8:$G22)/12</f>
        <v>0</v>
      </c>
      <c r="U19" s="153" t="n">
        <f aca="false">SUM('5b-OpExYrs1-3'!$G8:$G22)/12</f>
        <v>0</v>
      </c>
      <c r="V19" s="153" t="n">
        <f aca="false">SUM('5b-OpExYrs1-3'!$G8:$G22)/12</f>
        <v>0</v>
      </c>
      <c r="W19" s="153" t="n">
        <f aca="false">SUM('5b-OpExYrs1-3'!$G8:$G22)/12</f>
        <v>0</v>
      </c>
      <c r="X19" s="153" t="n">
        <f aca="false">SUM('5b-OpExYrs1-3'!$G8:$G22)/12</f>
        <v>0</v>
      </c>
      <c r="Y19" s="153" t="n">
        <f aca="false">SUM('5b-OpExYrs1-3'!$G8:$G22)/12</f>
        <v>0</v>
      </c>
      <c r="Z19" s="153" t="n">
        <f aca="false">SUM('5b-OpExYrs1-3'!$G8:$G22)/12</f>
        <v>0</v>
      </c>
      <c r="AA19" s="153" t="n">
        <f aca="false">SUM('5b-OpExYrs1-3'!$G8:$G22)/12</f>
        <v>0</v>
      </c>
      <c r="AB19" s="163" t="n">
        <f aca="false">SUM(P19:AA19)</f>
        <v>0</v>
      </c>
    </row>
    <row r="20" customFormat="false" ht="13.8" hidden="false" customHeight="false" outlineLevel="0" collapsed="false">
      <c r="A20" s="324" t="s">
        <v>181</v>
      </c>
      <c r="B20" s="329" t="n">
        <f aca="false">'6a-CashFlowYear1'!O21</f>
        <v>0</v>
      </c>
      <c r="C20" s="153" t="n">
        <f aca="false">'2b-PayrollYrs1-3'!$E$26/12</f>
        <v>0</v>
      </c>
      <c r="D20" s="153" t="n">
        <f aca="false">'2b-PayrollYrs1-3'!$E$26/12</f>
        <v>0</v>
      </c>
      <c r="E20" s="153" t="n">
        <f aca="false">'2b-PayrollYrs1-3'!$E$26/12</f>
        <v>0</v>
      </c>
      <c r="F20" s="153" t="n">
        <f aca="false">'2b-PayrollYrs1-3'!$E$26/12</f>
        <v>0</v>
      </c>
      <c r="G20" s="153" t="n">
        <f aca="false">'2b-PayrollYrs1-3'!$E$26/12</f>
        <v>0</v>
      </c>
      <c r="H20" s="153" t="n">
        <f aca="false">'2b-PayrollYrs1-3'!$E$26/12</f>
        <v>0</v>
      </c>
      <c r="I20" s="153" t="n">
        <f aca="false">'2b-PayrollYrs1-3'!$E$26/12</f>
        <v>0</v>
      </c>
      <c r="J20" s="153" t="n">
        <f aca="false">'2b-PayrollYrs1-3'!$E$26/12</f>
        <v>0</v>
      </c>
      <c r="K20" s="153" t="n">
        <f aca="false">'2b-PayrollYrs1-3'!$E$26/12</f>
        <v>0</v>
      </c>
      <c r="L20" s="153" t="n">
        <f aca="false">'2b-PayrollYrs1-3'!$E$26/12</f>
        <v>0</v>
      </c>
      <c r="M20" s="153" t="n">
        <f aca="false">'2b-PayrollYrs1-3'!$E$26/12</f>
        <v>0</v>
      </c>
      <c r="N20" s="153" t="n">
        <f aca="false">'2b-PayrollYrs1-3'!$E$26/12</f>
        <v>0</v>
      </c>
      <c r="O20" s="163" t="n">
        <f aca="false">SUM(C20:N20)</f>
        <v>0</v>
      </c>
      <c r="P20" s="153" t="n">
        <f aca="false">'2b-PayrollYrs1-3'!$G$26/12</f>
        <v>0</v>
      </c>
      <c r="Q20" s="153" t="n">
        <f aca="false">'2b-PayrollYrs1-3'!$G$26/12</f>
        <v>0</v>
      </c>
      <c r="R20" s="153" t="n">
        <f aca="false">'2b-PayrollYrs1-3'!$G$26/12</f>
        <v>0</v>
      </c>
      <c r="S20" s="153" t="n">
        <f aca="false">'2b-PayrollYrs1-3'!$G$26/12</f>
        <v>0</v>
      </c>
      <c r="T20" s="153" t="n">
        <f aca="false">'2b-PayrollYrs1-3'!$G$26/12</f>
        <v>0</v>
      </c>
      <c r="U20" s="153" t="n">
        <f aca="false">'2b-PayrollYrs1-3'!$G$26/12</f>
        <v>0</v>
      </c>
      <c r="V20" s="153" t="n">
        <f aca="false">'2b-PayrollYrs1-3'!$G$26/12</f>
        <v>0</v>
      </c>
      <c r="W20" s="153" t="n">
        <f aca="false">'2b-PayrollYrs1-3'!$G$26/12</f>
        <v>0</v>
      </c>
      <c r="X20" s="153" t="n">
        <f aca="false">'2b-PayrollYrs1-3'!$G$26/12</f>
        <v>0</v>
      </c>
      <c r="Y20" s="153" t="n">
        <f aca="false">'2b-PayrollYrs1-3'!$G$26/12</f>
        <v>0</v>
      </c>
      <c r="Z20" s="153" t="n">
        <f aca="false">'2b-PayrollYrs1-3'!$G$26/12</f>
        <v>0</v>
      </c>
      <c r="AA20" s="153" t="n">
        <f aca="false">'2b-PayrollYrs1-3'!$G$26/12</f>
        <v>0</v>
      </c>
      <c r="AB20" s="163" t="n">
        <f aca="false">SUM(P20:AA20)</f>
        <v>0</v>
      </c>
    </row>
    <row r="21" customFormat="false" ht="13.8" hidden="false" customHeight="false" outlineLevel="0" collapsed="false">
      <c r="A21" s="324" t="s">
        <v>182</v>
      </c>
      <c r="B21" s="329" t="n">
        <f aca="false">'6a-CashFlowYear1'!O22</f>
        <v>0</v>
      </c>
      <c r="C21" s="153" t="n">
        <v>0</v>
      </c>
      <c r="D21" s="153" t="n">
        <v>0</v>
      </c>
      <c r="E21" s="153" t="n">
        <f aca="false">SUM('7b-IncomeStatementYrs1-3'!C65:E65)</f>
        <v>0</v>
      </c>
      <c r="F21" s="153" t="n">
        <v>0</v>
      </c>
      <c r="G21" s="153" t="n">
        <v>0</v>
      </c>
      <c r="H21" s="153" t="n">
        <f aca="false">SUM('7b-IncomeStatementYrs1-3'!F65:H65)</f>
        <v>0</v>
      </c>
      <c r="I21" s="153" t="n">
        <v>0</v>
      </c>
      <c r="J21" s="153" t="n">
        <v>0</v>
      </c>
      <c r="K21" s="153" t="n">
        <f aca="false">SUM('7b-IncomeStatementYrs1-3'!I65:K65)</f>
        <v>0</v>
      </c>
      <c r="L21" s="153" t="n">
        <v>0</v>
      </c>
      <c r="M21" s="153" t="n">
        <v>0</v>
      </c>
      <c r="N21" s="153" t="n">
        <f aca="false">SUM('7b-IncomeStatementYrs1-3'!L65:N65)</f>
        <v>0</v>
      </c>
      <c r="O21" s="163"/>
      <c r="P21" s="153" t="n">
        <v>0</v>
      </c>
      <c r="Q21" s="153" t="n">
        <v>0</v>
      </c>
      <c r="R21" s="153" t="n">
        <f aca="false">SUM('7b-IncomeStatementYrs1-3'!C69:E69)</f>
        <v>0</v>
      </c>
      <c r="S21" s="153" t="n">
        <v>0</v>
      </c>
      <c r="T21" s="153" t="n">
        <v>0</v>
      </c>
      <c r="U21" s="153" t="n">
        <f aca="false">SUM('7b-IncomeStatementYrs1-3'!F69:H69)</f>
        <v>0</v>
      </c>
      <c r="V21" s="153" t="n">
        <v>0</v>
      </c>
      <c r="W21" s="153" t="n">
        <v>0</v>
      </c>
      <c r="X21" s="153" t="n">
        <f aca="false">SUM('7b-IncomeStatementYrs1-3'!I69:K69)</f>
        <v>0</v>
      </c>
      <c r="Y21" s="153" t="n">
        <v>0</v>
      </c>
      <c r="Z21" s="153" t="n">
        <v>0</v>
      </c>
      <c r="AA21" s="153" t="n">
        <f aca="false">SUM('7b-IncomeStatementYrs1-3'!L69:N69)</f>
        <v>0</v>
      </c>
      <c r="AB21" s="163" t="n">
        <f aca="false">SUM(P21:AA21)</f>
        <v>0</v>
      </c>
    </row>
    <row r="22" customFormat="false" ht="13.8" hidden="false" customHeight="false" outlineLevel="0" collapsed="false">
      <c r="A22" s="323" t="s">
        <v>183</v>
      </c>
      <c r="B22" s="329"/>
      <c r="C22" s="153"/>
      <c r="D22" s="153"/>
      <c r="E22" s="153"/>
      <c r="F22" s="153"/>
      <c r="G22" s="153"/>
      <c r="H22" s="153"/>
      <c r="I22" s="153"/>
      <c r="J22" s="153"/>
      <c r="K22" s="153"/>
      <c r="L22" s="153"/>
      <c r="M22" s="153"/>
      <c r="N22" s="153"/>
      <c r="O22" s="163"/>
      <c r="P22" s="153"/>
      <c r="Q22" s="153"/>
      <c r="R22" s="153"/>
      <c r="S22" s="153"/>
      <c r="T22" s="153"/>
      <c r="U22" s="153"/>
      <c r="V22" s="153"/>
      <c r="W22" s="153"/>
      <c r="X22" s="153"/>
      <c r="Y22" s="153"/>
      <c r="Z22" s="153"/>
      <c r="AA22" s="153"/>
      <c r="AB22" s="163"/>
    </row>
    <row r="23" customFormat="false" ht="13.8" hidden="false" customHeight="false" outlineLevel="0" collapsed="false">
      <c r="A23" s="330" t="s">
        <v>184</v>
      </c>
      <c r="B23" s="329" t="n">
        <f aca="false">'6a-CashFlowYear1'!O24</f>
        <v>0</v>
      </c>
      <c r="C23" s="153" t="n">
        <f aca="false">SUM('Amortization&amp;Depreciation'!C19:C20)+SUM('Amortization&amp;Depreciation'!C39:C40)+SUM('Amortization&amp;Depreciation'!C59:C60)+SUM('Amortization&amp;Depreciation'!C79:C80)+SUM('Amortization&amp;Depreciation'!C99:C100)</f>
        <v>0</v>
      </c>
      <c r="D23" s="153" t="n">
        <f aca="false">SUM('Amortization&amp;Depreciation'!D19:D20)+SUM('Amortization&amp;Depreciation'!D39:D40)+SUM('Amortization&amp;Depreciation'!D59:D60)+SUM('Amortization&amp;Depreciation'!D79:D80)+SUM('Amortization&amp;Depreciation'!D99:D100)</f>
        <v>0</v>
      </c>
      <c r="E23" s="153" t="n">
        <f aca="false">SUM('Amortization&amp;Depreciation'!E19:E20)+SUM('Amortization&amp;Depreciation'!E39:E40)+SUM('Amortization&amp;Depreciation'!E59:E60)+SUM('Amortization&amp;Depreciation'!E79:E80)+SUM('Amortization&amp;Depreciation'!E99:E100)</f>
        <v>0</v>
      </c>
      <c r="F23" s="153" t="n">
        <f aca="false">SUM('Amortization&amp;Depreciation'!F19:F20)+SUM('Amortization&amp;Depreciation'!F39:F40)+SUM('Amortization&amp;Depreciation'!F59:F60)+SUM('Amortization&amp;Depreciation'!F79:F80)+SUM('Amortization&amp;Depreciation'!F99:F100)</f>
        <v>0</v>
      </c>
      <c r="G23" s="153" t="n">
        <f aca="false">SUM('Amortization&amp;Depreciation'!G19:G20)+SUM('Amortization&amp;Depreciation'!G39:G40)+SUM('Amortization&amp;Depreciation'!G59:G60)+SUM('Amortization&amp;Depreciation'!G79:G80)+SUM('Amortization&amp;Depreciation'!G99:G100)</f>
        <v>0</v>
      </c>
      <c r="H23" s="153" t="n">
        <f aca="false">SUM('Amortization&amp;Depreciation'!H19:H20)+SUM('Amortization&amp;Depreciation'!H39:H40)+SUM('Amortization&amp;Depreciation'!H59:H60)+SUM('Amortization&amp;Depreciation'!H79:H80)+SUM('Amortization&amp;Depreciation'!H99:H100)</f>
        <v>0</v>
      </c>
      <c r="I23" s="153" t="n">
        <f aca="false">SUM('Amortization&amp;Depreciation'!I19:I20)+SUM('Amortization&amp;Depreciation'!I39:I40)+SUM('Amortization&amp;Depreciation'!I59:I60)+SUM('Amortization&amp;Depreciation'!I79:I80)+SUM('Amortization&amp;Depreciation'!I99:I100)</f>
        <v>0</v>
      </c>
      <c r="J23" s="153" t="n">
        <f aca="false">SUM('Amortization&amp;Depreciation'!J19:J20)+SUM('Amortization&amp;Depreciation'!J39:J40)+SUM('Amortization&amp;Depreciation'!J59:J60)+SUM('Amortization&amp;Depreciation'!J79:J80)+SUM('Amortization&amp;Depreciation'!J99:J100)</f>
        <v>0</v>
      </c>
      <c r="K23" s="153" t="n">
        <f aca="false">SUM('Amortization&amp;Depreciation'!K19:K20)+SUM('Amortization&amp;Depreciation'!K39:K40)+SUM('Amortization&amp;Depreciation'!K59:K60)+SUM('Amortization&amp;Depreciation'!K79:K80)+SUM('Amortization&amp;Depreciation'!K99:K100)</f>
        <v>0</v>
      </c>
      <c r="L23" s="153" t="n">
        <f aca="false">SUM('Amortization&amp;Depreciation'!L19:L20)+SUM('Amortization&amp;Depreciation'!L39:L40)+SUM('Amortization&amp;Depreciation'!L59:L60)+SUM('Amortization&amp;Depreciation'!L79:L80)+SUM('Amortization&amp;Depreciation'!L99:L100)</f>
        <v>0</v>
      </c>
      <c r="M23" s="153" t="n">
        <f aca="false">SUM('Amortization&amp;Depreciation'!M19:M20)+SUM('Amortization&amp;Depreciation'!M39:M40)+SUM('Amortization&amp;Depreciation'!M59:M60)+SUM('Amortization&amp;Depreciation'!M79:M80)+SUM('Amortization&amp;Depreciation'!M99:M100)</f>
        <v>0</v>
      </c>
      <c r="N23" s="153" t="n">
        <f aca="false">SUM('Amortization&amp;Depreciation'!N19:N20)+SUM('Amortization&amp;Depreciation'!N39:N40)+SUM('Amortization&amp;Depreciation'!N59:N60)+SUM('Amortization&amp;Depreciation'!N79:N80)+SUM('Amortization&amp;Depreciation'!N99:N100)</f>
        <v>0</v>
      </c>
      <c r="O23" s="163" t="n">
        <f aca="false">SUM(C23:N23)</f>
        <v>0</v>
      </c>
      <c r="P23" s="153" t="n">
        <f aca="false">SUM('Amortization&amp;Depreciation'!C23:C24)+SUM('Amortization&amp;Depreciation'!C43:C44)+SUM('Amortization&amp;Depreciation'!C63:C64)+SUM('Amortization&amp;Depreciation'!C83:C84)+SUM('Amortization&amp;Depreciation'!C103:C104)</f>
        <v>0</v>
      </c>
      <c r="Q23" s="153" t="n">
        <f aca="false">SUM('Amortization&amp;Depreciation'!D23:D24)+SUM('Amortization&amp;Depreciation'!D43:D44)+SUM('Amortization&amp;Depreciation'!D63:D64)+SUM('Amortization&amp;Depreciation'!D83:D84)+SUM('Amortization&amp;Depreciation'!D103:D104)</f>
        <v>0</v>
      </c>
      <c r="R23" s="153" t="n">
        <f aca="false">SUM('Amortization&amp;Depreciation'!E23:E24)+SUM('Amortization&amp;Depreciation'!E43:E44)+SUM('Amortization&amp;Depreciation'!E63:E64)+SUM('Amortization&amp;Depreciation'!E83:E84)+SUM('Amortization&amp;Depreciation'!E103:E104)</f>
        <v>0</v>
      </c>
      <c r="S23" s="153" t="n">
        <f aca="false">SUM('Amortization&amp;Depreciation'!F23:F24)+SUM('Amortization&amp;Depreciation'!F43:F44)+SUM('Amortization&amp;Depreciation'!F63:F64)+SUM('Amortization&amp;Depreciation'!F83:F84)+SUM('Amortization&amp;Depreciation'!F103:F104)</f>
        <v>0</v>
      </c>
      <c r="T23" s="153" t="n">
        <f aca="false">SUM('Amortization&amp;Depreciation'!G23:G24)+SUM('Amortization&amp;Depreciation'!G43:G44)+SUM('Amortization&amp;Depreciation'!G63:G64)+SUM('Amortization&amp;Depreciation'!G83:G84)+SUM('Amortization&amp;Depreciation'!G103:G104)</f>
        <v>0</v>
      </c>
      <c r="U23" s="153" t="n">
        <f aca="false">SUM('Amortization&amp;Depreciation'!H23:H24)+SUM('Amortization&amp;Depreciation'!H43:H44)+SUM('Amortization&amp;Depreciation'!H63:H64)+SUM('Amortization&amp;Depreciation'!H83:H84)+SUM('Amortization&amp;Depreciation'!H103:H104)</f>
        <v>0</v>
      </c>
      <c r="V23" s="153" t="n">
        <f aca="false">SUM('Amortization&amp;Depreciation'!I23:I24)+SUM('Amortization&amp;Depreciation'!I43:I44)+SUM('Amortization&amp;Depreciation'!I63:I64)+SUM('Amortization&amp;Depreciation'!I83:I84)+SUM('Amortization&amp;Depreciation'!I103:I104)</f>
        <v>0</v>
      </c>
      <c r="W23" s="153" t="n">
        <f aca="false">SUM('Amortization&amp;Depreciation'!J23:J24)+SUM('Amortization&amp;Depreciation'!J43:J44)+SUM('Amortization&amp;Depreciation'!J63:J64)+SUM('Amortization&amp;Depreciation'!J83:J84)+SUM('Amortization&amp;Depreciation'!J103:J104)</f>
        <v>0</v>
      </c>
      <c r="X23" s="153" t="n">
        <f aca="false">SUM('Amortization&amp;Depreciation'!K23:K24)+SUM('Amortization&amp;Depreciation'!K43:K44)+SUM('Amortization&amp;Depreciation'!K63:K64)+SUM('Amortization&amp;Depreciation'!K83:K84)+SUM('Amortization&amp;Depreciation'!K103:K104)</f>
        <v>0</v>
      </c>
      <c r="Y23" s="153" t="n">
        <f aca="false">SUM('Amortization&amp;Depreciation'!L23:L24)+SUM('Amortization&amp;Depreciation'!L43:L44)+SUM('Amortization&amp;Depreciation'!L63:L64)+SUM('Amortization&amp;Depreciation'!L83:L84)+SUM('Amortization&amp;Depreciation'!L103:L104)</f>
        <v>0</v>
      </c>
      <c r="Z23" s="153" t="n">
        <f aca="false">SUM('Amortization&amp;Depreciation'!M23:M24)+SUM('Amortization&amp;Depreciation'!M43:M44)+SUM('Amortization&amp;Depreciation'!M63:M64)+SUM('Amortization&amp;Depreciation'!M83:M84)+SUM('Amortization&amp;Depreciation'!M103:M104)</f>
        <v>0</v>
      </c>
      <c r="AA23" s="153" t="n">
        <f aca="false">SUM('Amortization&amp;Depreciation'!N23:N24)+SUM('Amortization&amp;Depreciation'!N43:N44)+SUM('Amortization&amp;Depreciation'!N63:N64)+SUM('Amortization&amp;Depreciation'!N83:N84)+SUM('Amortization&amp;Depreciation'!N103:N104)</f>
        <v>0</v>
      </c>
      <c r="AB23" s="163" t="n">
        <f aca="false">SUM(P23:AA23)</f>
        <v>0</v>
      </c>
    </row>
    <row r="24" customFormat="false" ht="13.8" hidden="false" customHeight="false" outlineLevel="0" collapsed="false">
      <c r="A24" s="330" t="s">
        <v>185</v>
      </c>
      <c r="B24" s="329" t="n">
        <f aca="false">'6a-CashFlowYear1'!O25</f>
        <v>0</v>
      </c>
      <c r="C24" s="290"/>
      <c r="D24" s="290"/>
      <c r="E24" s="290"/>
      <c r="F24" s="290"/>
      <c r="G24" s="290"/>
      <c r="H24" s="290"/>
      <c r="I24" s="290"/>
      <c r="J24" s="290"/>
      <c r="K24" s="290"/>
      <c r="L24" s="290"/>
      <c r="M24" s="290"/>
      <c r="N24" s="290"/>
      <c r="O24" s="163" t="n">
        <f aca="false">SUM(C24:N24)</f>
        <v>0</v>
      </c>
      <c r="P24" s="290"/>
      <c r="Q24" s="290"/>
      <c r="R24" s="290"/>
      <c r="S24" s="290"/>
      <c r="T24" s="290"/>
      <c r="U24" s="290"/>
      <c r="V24" s="290"/>
      <c r="W24" s="290"/>
      <c r="X24" s="290"/>
      <c r="Y24" s="290"/>
      <c r="Z24" s="290"/>
      <c r="AA24" s="290"/>
      <c r="AB24" s="163" t="n">
        <f aca="false">SUM(P24:AA24)</f>
        <v>0</v>
      </c>
    </row>
    <row r="25" customFormat="false" ht="13.8" hidden="false" customHeight="false" outlineLevel="0" collapsed="false">
      <c r="A25" s="330" t="s">
        <v>186</v>
      </c>
      <c r="B25" s="329" t="n">
        <f aca="false">'6a-CashFlowYear1'!O26</f>
        <v>0</v>
      </c>
      <c r="C25" s="153" t="n">
        <f aca="false">'6a-CashFlowYear1'!N34*'4-AdditionalInputs'!$D$25/12</f>
        <v>0</v>
      </c>
      <c r="D25" s="153" t="n">
        <f aca="false">C33*'4-AdditionalInputs'!$D$25/12</f>
        <v>0</v>
      </c>
      <c r="E25" s="153" t="n">
        <f aca="false">D33*'4-AdditionalInputs'!$D$25/12</f>
        <v>0</v>
      </c>
      <c r="F25" s="153" t="n">
        <f aca="false">E33*'4-AdditionalInputs'!$D$25/12</f>
        <v>0</v>
      </c>
      <c r="G25" s="153" t="n">
        <f aca="false">F33*'4-AdditionalInputs'!$D$25/12</f>
        <v>0</v>
      </c>
      <c r="H25" s="153" t="n">
        <f aca="false">G33*'4-AdditionalInputs'!$D$25/12</f>
        <v>0</v>
      </c>
      <c r="I25" s="153" t="n">
        <f aca="false">H33*'4-AdditionalInputs'!$D$25/12</f>
        <v>0</v>
      </c>
      <c r="J25" s="153" t="n">
        <f aca="false">I33*'4-AdditionalInputs'!$D$25/12</f>
        <v>0</v>
      </c>
      <c r="K25" s="153" t="n">
        <f aca="false">J33*'4-AdditionalInputs'!$D$25/12</f>
        <v>0</v>
      </c>
      <c r="L25" s="153" t="n">
        <f aca="false">K33*'4-AdditionalInputs'!$D$25/12</f>
        <v>0</v>
      </c>
      <c r="M25" s="153" t="n">
        <f aca="false">L33*'4-AdditionalInputs'!$D$25/12</f>
        <v>0</v>
      </c>
      <c r="N25" s="153" t="n">
        <f aca="false">M33*'4-AdditionalInputs'!$D$25/12</f>
        <v>0</v>
      </c>
      <c r="O25" s="163" t="n">
        <f aca="false">SUM(C25:N25)</f>
        <v>0</v>
      </c>
      <c r="P25" s="153" t="n">
        <f aca="false">N33*'4-AdditionalInputs'!$D$25/12</f>
        <v>0</v>
      </c>
      <c r="Q25" s="153" t="n">
        <f aca="false">P33*'4-AdditionalInputs'!$D$25/12</f>
        <v>0</v>
      </c>
      <c r="R25" s="153" t="n">
        <f aca="false">Q33*'4-AdditionalInputs'!$D$25/12</f>
        <v>0</v>
      </c>
      <c r="S25" s="153" t="n">
        <f aca="false">R33*'4-AdditionalInputs'!$D$25/12</f>
        <v>0</v>
      </c>
      <c r="T25" s="153" t="n">
        <f aca="false">S33*'4-AdditionalInputs'!$D$25/12</f>
        <v>0</v>
      </c>
      <c r="U25" s="153" t="n">
        <f aca="false">T33*'4-AdditionalInputs'!$D$25/12</f>
        <v>0</v>
      </c>
      <c r="V25" s="153" t="n">
        <f aca="false">U33*'4-AdditionalInputs'!$D$25/12</f>
        <v>0</v>
      </c>
      <c r="W25" s="153" t="n">
        <f aca="false">V33*'4-AdditionalInputs'!$D$25/12</f>
        <v>0</v>
      </c>
      <c r="X25" s="153" t="n">
        <f aca="false">W33*'4-AdditionalInputs'!$D$25/12</f>
        <v>0</v>
      </c>
      <c r="Y25" s="153" t="n">
        <f aca="false">X33*'4-AdditionalInputs'!$D$25/12</f>
        <v>0</v>
      </c>
      <c r="Z25" s="153" t="n">
        <f aca="false">Y33*'4-AdditionalInputs'!$D$25/12</f>
        <v>0</v>
      </c>
      <c r="AA25" s="153" t="n">
        <f aca="false">Z33*'4-AdditionalInputs'!$D$25/12</f>
        <v>0</v>
      </c>
      <c r="AB25" s="163" t="n">
        <f aca="false">SUM(P25:AA25)</f>
        <v>0</v>
      </c>
    </row>
    <row r="26" customFormat="false" ht="13.8" hidden="false" customHeight="false" outlineLevel="0" collapsed="false">
      <c r="A26" s="330" t="s">
        <v>187</v>
      </c>
      <c r="B26" s="329" t="n">
        <f aca="false">'6a-CashFlowYear1'!O27</f>
        <v>0</v>
      </c>
      <c r="C26" s="290"/>
      <c r="D26" s="290"/>
      <c r="E26" s="290"/>
      <c r="F26" s="290"/>
      <c r="G26" s="290"/>
      <c r="H26" s="290"/>
      <c r="I26" s="290"/>
      <c r="J26" s="290"/>
      <c r="K26" s="290"/>
      <c r="L26" s="290"/>
      <c r="M26" s="290"/>
      <c r="N26" s="290"/>
      <c r="O26" s="163" t="n">
        <f aca="false">SUM(C26:N26)</f>
        <v>0</v>
      </c>
      <c r="P26" s="290"/>
      <c r="Q26" s="290"/>
      <c r="R26" s="290"/>
      <c r="S26" s="290"/>
      <c r="T26" s="290"/>
      <c r="U26" s="290"/>
      <c r="V26" s="290"/>
      <c r="W26" s="290"/>
      <c r="X26" s="290"/>
      <c r="Y26" s="290"/>
      <c r="Z26" s="290"/>
      <c r="AA26" s="290"/>
      <c r="AB26" s="163" t="n">
        <f aca="false">SUM(P26:AA26)</f>
        <v>0</v>
      </c>
    </row>
    <row r="27" customFormat="false" ht="13.8" hidden="false" customHeight="false" outlineLevel="0" collapsed="false">
      <c r="A27" s="330" t="s">
        <v>188</v>
      </c>
      <c r="B27" s="329" t="n">
        <f aca="false">'6a-CashFlowYear1'!O28</f>
        <v>0</v>
      </c>
      <c r="C27" s="290"/>
      <c r="D27" s="290"/>
      <c r="E27" s="290"/>
      <c r="F27" s="290"/>
      <c r="G27" s="290"/>
      <c r="H27" s="290"/>
      <c r="I27" s="290"/>
      <c r="J27" s="290"/>
      <c r="K27" s="290"/>
      <c r="L27" s="290"/>
      <c r="M27" s="290"/>
      <c r="N27" s="290"/>
      <c r="O27" s="163" t="n">
        <f aca="false">SUM(C27:N27)</f>
        <v>0</v>
      </c>
      <c r="P27" s="290"/>
      <c r="Q27" s="290"/>
      <c r="R27" s="290"/>
      <c r="S27" s="290"/>
      <c r="T27" s="290"/>
      <c r="U27" s="290"/>
      <c r="V27" s="290"/>
      <c r="W27" s="290"/>
      <c r="X27" s="290"/>
      <c r="Y27" s="290"/>
      <c r="Z27" s="290"/>
      <c r="AA27" s="290"/>
      <c r="AB27" s="163" t="n">
        <f aca="false">SUM(P27:AA27)</f>
        <v>0</v>
      </c>
    </row>
    <row r="28" customFormat="false" ht="13.8" hidden="false" customHeight="false" outlineLevel="0" collapsed="false">
      <c r="A28" s="325" t="s">
        <v>189</v>
      </c>
      <c r="B28" s="329" t="n">
        <f aca="false">'6a-CashFlowYear1'!O29</f>
        <v>0</v>
      </c>
      <c r="C28" s="326" t="n">
        <f aca="false">SUM(C15:C27)</f>
        <v>0</v>
      </c>
      <c r="D28" s="326" t="n">
        <f aca="false">SUM(D15:D27)</f>
        <v>0</v>
      </c>
      <c r="E28" s="326" t="n">
        <f aca="false">SUM(E15:E27)</f>
        <v>0</v>
      </c>
      <c r="F28" s="326" t="n">
        <f aca="false">SUM(F15:F27)</f>
        <v>0</v>
      </c>
      <c r="G28" s="326" t="n">
        <f aca="false">SUM(G15:G27)</f>
        <v>0</v>
      </c>
      <c r="H28" s="326" t="n">
        <f aca="false">SUM(H15:H27)</f>
        <v>0</v>
      </c>
      <c r="I28" s="326" t="n">
        <f aca="false">SUM(I15:I27)</f>
        <v>0</v>
      </c>
      <c r="J28" s="326" t="n">
        <f aca="false">SUM(J15:J27)</f>
        <v>0</v>
      </c>
      <c r="K28" s="326" t="n">
        <f aca="false">SUM(K15:K27)</f>
        <v>0</v>
      </c>
      <c r="L28" s="326" t="n">
        <f aca="false">SUM(L15:L27)</f>
        <v>0</v>
      </c>
      <c r="M28" s="326" t="n">
        <f aca="false">SUM(M15:M27)</f>
        <v>0</v>
      </c>
      <c r="N28" s="326" t="n">
        <f aca="false">SUM(N15:N27)</f>
        <v>0</v>
      </c>
      <c r="O28" s="163" t="n">
        <f aca="false">SUM(O15:O27)</f>
        <v>0</v>
      </c>
      <c r="P28" s="326" t="n">
        <f aca="false">SUM(P15:P27)</f>
        <v>0</v>
      </c>
      <c r="Q28" s="326" t="n">
        <f aca="false">SUM(Q15:Q27)</f>
        <v>0</v>
      </c>
      <c r="R28" s="326" t="n">
        <f aca="false">SUM(R15:R27)</f>
        <v>0</v>
      </c>
      <c r="S28" s="326" t="n">
        <f aca="false">SUM(S15:S27)</f>
        <v>0</v>
      </c>
      <c r="T28" s="326" t="n">
        <f aca="false">SUM(T15:T27)</f>
        <v>0</v>
      </c>
      <c r="U28" s="326" t="n">
        <f aca="false">SUM(U15:U27)</f>
        <v>0</v>
      </c>
      <c r="V28" s="326" t="n">
        <f aca="false">SUM(V15:V27)</f>
        <v>0</v>
      </c>
      <c r="W28" s="326" t="n">
        <f aca="false">SUM(W15:W27)</f>
        <v>0</v>
      </c>
      <c r="X28" s="326" t="n">
        <f aca="false">SUM(X15:X27)</f>
        <v>0</v>
      </c>
      <c r="Y28" s="326" t="n">
        <f aca="false">SUM(Y15:Y27)</f>
        <v>0</v>
      </c>
      <c r="Z28" s="326" t="n">
        <f aca="false">SUM(Z15:Z27)</f>
        <v>0</v>
      </c>
      <c r="AA28" s="326" t="n">
        <f aca="false">SUM(AA15:AA27)</f>
        <v>0</v>
      </c>
      <c r="AB28" s="163" t="n">
        <f aca="false">SUM(P28:AA28)</f>
        <v>0</v>
      </c>
    </row>
    <row r="29" customFormat="false" ht="13.8" hidden="false" customHeight="false" outlineLevel="0" collapsed="false">
      <c r="A29" s="321" t="s">
        <v>190</v>
      </c>
      <c r="B29" s="329" t="n">
        <f aca="false">'6a-CashFlowYear1'!O30</f>
        <v>0</v>
      </c>
      <c r="C29" s="156" t="n">
        <f aca="false">C11-C28</f>
        <v>0</v>
      </c>
      <c r="D29" s="156" t="n">
        <f aca="false">D11-D28</f>
        <v>0</v>
      </c>
      <c r="E29" s="156" t="n">
        <f aca="false">E11-E28</f>
        <v>0</v>
      </c>
      <c r="F29" s="156" t="n">
        <f aca="false">F11-F28</f>
        <v>0</v>
      </c>
      <c r="G29" s="156" t="n">
        <f aca="false">G11-G28</f>
        <v>0</v>
      </c>
      <c r="H29" s="156" t="n">
        <f aca="false">H11-H28</f>
        <v>0</v>
      </c>
      <c r="I29" s="156" t="n">
        <f aca="false">I11-I28</f>
        <v>0</v>
      </c>
      <c r="J29" s="156" t="n">
        <f aca="false">J11-J28</f>
        <v>0</v>
      </c>
      <c r="K29" s="156" t="n">
        <f aca="false">K11-K28</f>
        <v>0</v>
      </c>
      <c r="L29" s="156" t="n">
        <f aca="false">L11-L28</f>
        <v>0</v>
      </c>
      <c r="M29" s="156" t="n">
        <f aca="false">M11-M28</f>
        <v>0</v>
      </c>
      <c r="N29" s="156" t="n">
        <f aca="false">N11-N28</f>
        <v>0</v>
      </c>
      <c r="O29" s="163" t="n">
        <f aca="false">O11-O28</f>
        <v>0</v>
      </c>
      <c r="P29" s="156" t="n">
        <f aca="false">P11-P28</f>
        <v>0</v>
      </c>
      <c r="Q29" s="156" t="n">
        <f aca="false">Q11-Q28</f>
        <v>0</v>
      </c>
      <c r="R29" s="156" t="n">
        <f aca="false">R11-R28</f>
        <v>0</v>
      </c>
      <c r="S29" s="156" t="n">
        <f aca="false">S11-S28</f>
        <v>0</v>
      </c>
      <c r="T29" s="156" t="n">
        <f aca="false">T11-T28</f>
        <v>0</v>
      </c>
      <c r="U29" s="156" t="n">
        <f aca="false">U11-U28</f>
        <v>0</v>
      </c>
      <c r="V29" s="156" t="n">
        <f aca="false">V11-V28</f>
        <v>0</v>
      </c>
      <c r="W29" s="156" t="n">
        <f aca="false">W11-W28</f>
        <v>0</v>
      </c>
      <c r="X29" s="156" t="n">
        <f aca="false">X11-X28</f>
        <v>0</v>
      </c>
      <c r="Y29" s="156" t="n">
        <f aca="false">Y11-Y28</f>
        <v>0</v>
      </c>
      <c r="Z29" s="156" t="n">
        <f aca="false">Z11-Z28</f>
        <v>0</v>
      </c>
      <c r="AA29" s="156" t="n">
        <f aca="false">AA11-AA28</f>
        <v>0</v>
      </c>
      <c r="AB29" s="163" t="n">
        <f aca="false">SUM(P29:AA29)</f>
        <v>0</v>
      </c>
    </row>
    <row r="30" customFormat="false" ht="13.8" hidden="false" customHeight="false" outlineLevel="0" collapsed="false">
      <c r="A30" s="321" t="s">
        <v>191</v>
      </c>
      <c r="B30" s="321"/>
      <c r="C30" s="156" t="n">
        <f aca="false">C7+C29</f>
        <v>0</v>
      </c>
      <c r="D30" s="156" t="n">
        <f aca="false">D7+D29</f>
        <v>0</v>
      </c>
      <c r="E30" s="156" t="n">
        <f aca="false">E7+E29</f>
        <v>0</v>
      </c>
      <c r="F30" s="156" t="n">
        <f aca="false">F7+F29</f>
        <v>0</v>
      </c>
      <c r="G30" s="156" t="n">
        <f aca="false">G7+G29</f>
        <v>0</v>
      </c>
      <c r="H30" s="156" t="n">
        <f aca="false">H7+H29</f>
        <v>0</v>
      </c>
      <c r="I30" s="156" t="n">
        <f aca="false">I7+I29</f>
        <v>0</v>
      </c>
      <c r="J30" s="156" t="n">
        <f aca="false">J7+J29</f>
        <v>0</v>
      </c>
      <c r="K30" s="156" t="n">
        <f aca="false">K7+K29</f>
        <v>0</v>
      </c>
      <c r="L30" s="156" t="n">
        <f aca="false">L7+L29</f>
        <v>0</v>
      </c>
      <c r="M30" s="156" t="n">
        <f aca="false">M7+M29</f>
        <v>0</v>
      </c>
      <c r="N30" s="156" t="n">
        <f aca="false">N7+N29</f>
        <v>0</v>
      </c>
      <c r="O30" s="163"/>
      <c r="P30" s="156" t="n">
        <f aca="false">P7+P29</f>
        <v>0</v>
      </c>
      <c r="Q30" s="156" t="n">
        <f aca="false">Q7+Q29</f>
        <v>0</v>
      </c>
      <c r="R30" s="156" t="n">
        <f aca="false">R7+R29</f>
        <v>0</v>
      </c>
      <c r="S30" s="156" t="n">
        <f aca="false">S7+S29</f>
        <v>0</v>
      </c>
      <c r="T30" s="156" t="n">
        <f aca="false">T7+T29</f>
        <v>0</v>
      </c>
      <c r="U30" s="156" t="n">
        <f aca="false">U7+U29</f>
        <v>0</v>
      </c>
      <c r="V30" s="156" t="n">
        <f aca="false">V7+V29</f>
        <v>0</v>
      </c>
      <c r="W30" s="156" t="n">
        <f aca="false">W7+W29</f>
        <v>0</v>
      </c>
      <c r="X30" s="156" t="n">
        <f aca="false">X7+X29</f>
        <v>0</v>
      </c>
      <c r="Y30" s="156" t="n">
        <f aca="false">Y7+Y29</f>
        <v>0</v>
      </c>
      <c r="Z30" s="156" t="n">
        <f aca="false">Z7+Z29</f>
        <v>0</v>
      </c>
      <c r="AA30" s="156" t="n">
        <f aca="false">AA7+AA29</f>
        <v>0</v>
      </c>
      <c r="AB30" s="163"/>
    </row>
    <row r="31" customFormat="false" ht="13.8" hidden="false" customHeight="false" outlineLevel="0" collapsed="false">
      <c r="A31" s="321" t="s">
        <v>192</v>
      </c>
      <c r="B31" s="329" t="n">
        <f aca="false">'6a-CashFlowYear1'!O32</f>
        <v>0</v>
      </c>
      <c r="C31" s="156" t="n">
        <f aca="false">IF(C30&lt;'4-AdditionalInputs'!$D$24, '4-AdditionalInputs'!$D$24-C30, 0)</f>
        <v>0</v>
      </c>
      <c r="D31" s="156" t="n">
        <f aca="false">IF(D30&lt;'4-AdditionalInputs'!$D$24, '4-AdditionalInputs'!$D$24-D30, 0)</f>
        <v>0</v>
      </c>
      <c r="E31" s="156" t="n">
        <f aca="false">IF(E30&lt;'4-AdditionalInputs'!$D$24, '4-AdditionalInputs'!$D$24-E30, 0)</f>
        <v>0</v>
      </c>
      <c r="F31" s="156" t="n">
        <f aca="false">IF(F30&lt;'4-AdditionalInputs'!$D$24, '4-AdditionalInputs'!$D$24-F30, 0)</f>
        <v>0</v>
      </c>
      <c r="G31" s="156" t="n">
        <f aca="false">IF(G30&lt;'4-AdditionalInputs'!$D$24, '4-AdditionalInputs'!$D$24-G30, 0)</f>
        <v>0</v>
      </c>
      <c r="H31" s="156" t="n">
        <f aca="false">IF(H30&lt;'4-AdditionalInputs'!$D$24, '4-AdditionalInputs'!$D$24-H30, 0)</f>
        <v>0</v>
      </c>
      <c r="I31" s="156" t="n">
        <f aca="false">IF(I30&lt;'4-AdditionalInputs'!$D$24, '4-AdditionalInputs'!$D$24-I30, 0)</f>
        <v>0</v>
      </c>
      <c r="J31" s="156" t="n">
        <f aca="false">IF(J30&lt;'4-AdditionalInputs'!$D$24, '4-AdditionalInputs'!$D$24-J30, 0)</f>
        <v>0</v>
      </c>
      <c r="K31" s="156" t="n">
        <f aca="false">IF(K30&lt;'4-AdditionalInputs'!$D$24, '4-AdditionalInputs'!$D$24-K30, 0)</f>
        <v>0</v>
      </c>
      <c r="L31" s="156" t="n">
        <f aca="false">IF(L30&lt;'4-AdditionalInputs'!$D$24, '4-AdditionalInputs'!$D$24-L30, 0)</f>
        <v>0</v>
      </c>
      <c r="M31" s="156" t="n">
        <f aca="false">IF(M30&lt;'4-AdditionalInputs'!$D$24, '4-AdditionalInputs'!$D$24-M30, 0)</f>
        <v>0</v>
      </c>
      <c r="N31" s="156" t="n">
        <f aca="false">IF(N30&lt;'4-AdditionalInputs'!$D$24, '4-AdditionalInputs'!$D$24-N30, 0)</f>
        <v>0</v>
      </c>
      <c r="O31" s="163" t="n">
        <f aca="false">SUM(C31:N31)</f>
        <v>0</v>
      </c>
      <c r="P31" s="156" t="n">
        <f aca="false">IF(P30&lt;'4-AdditionalInputs'!$D$24, '4-AdditionalInputs'!$D$24-P30, 0)</f>
        <v>0</v>
      </c>
      <c r="Q31" s="156" t="n">
        <f aca="false">IF(Q30&lt;'4-AdditionalInputs'!$D$24, '4-AdditionalInputs'!$D$24-Q30, 0)</f>
        <v>0</v>
      </c>
      <c r="R31" s="156" t="n">
        <f aca="false">IF(R30&lt;'4-AdditionalInputs'!$D$24, '4-AdditionalInputs'!$D$24-R30, 0)</f>
        <v>0</v>
      </c>
      <c r="S31" s="156" t="n">
        <f aca="false">IF(S30&lt;'4-AdditionalInputs'!$D$24, '4-AdditionalInputs'!$D$24-S30, 0)</f>
        <v>0</v>
      </c>
      <c r="T31" s="156" t="n">
        <f aca="false">IF(T30&lt;'4-AdditionalInputs'!$D$24, '4-AdditionalInputs'!$D$24-T30, 0)</f>
        <v>0</v>
      </c>
      <c r="U31" s="156" t="n">
        <f aca="false">IF(U30&lt;'4-AdditionalInputs'!$D$24, '4-AdditionalInputs'!$D$24-U30, 0)</f>
        <v>0</v>
      </c>
      <c r="V31" s="156" t="n">
        <f aca="false">IF(V30&lt;'4-AdditionalInputs'!$D$24, '4-AdditionalInputs'!$D$24-V30, 0)</f>
        <v>0</v>
      </c>
      <c r="W31" s="156" t="n">
        <f aca="false">IF(W30&lt;'4-AdditionalInputs'!$D$24, '4-AdditionalInputs'!$D$24-W30, 0)</f>
        <v>0</v>
      </c>
      <c r="X31" s="156" t="n">
        <f aca="false">IF(X30&lt;'4-AdditionalInputs'!$D$24, '4-AdditionalInputs'!$D$24-X30, 0)</f>
        <v>0</v>
      </c>
      <c r="Y31" s="156" t="n">
        <f aca="false">IF(Y30&lt;'4-AdditionalInputs'!$D$24, '4-AdditionalInputs'!$D$24-Y30, 0)</f>
        <v>0</v>
      </c>
      <c r="Z31" s="156" t="n">
        <f aca="false">IF(Z30&lt;'4-AdditionalInputs'!$D$24, '4-AdditionalInputs'!$D$24-Z30, 0)</f>
        <v>0</v>
      </c>
      <c r="AA31" s="156" t="n">
        <f aca="false">IF(AA30&lt;'4-AdditionalInputs'!$D$24, '4-AdditionalInputs'!$D$24-AA30, 0)</f>
        <v>0</v>
      </c>
      <c r="AB31" s="163" t="n">
        <f aca="false">SUM(P31:AA31)</f>
        <v>0</v>
      </c>
    </row>
    <row r="32" customFormat="false" ht="13.8" hidden="false" customHeight="false" outlineLevel="0" collapsed="false">
      <c r="A32" s="321" t="s">
        <v>193</v>
      </c>
      <c r="B32" s="321"/>
      <c r="C32" s="156" t="n">
        <f aca="false">SUM(C30+C31)</f>
        <v>0</v>
      </c>
      <c r="D32" s="156" t="n">
        <f aca="false">SUM(D30+D31)</f>
        <v>0</v>
      </c>
      <c r="E32" s="156" t="n">
        <f aca="false">SUM(E30+E31)</f>
        <v>0</v>
      </c>
      <c r="F32" s="156" t="n">
        <f aca="false">SUM(F30+F31)</f>
        <v>0</v>
      </c>
      <c r="G32" s="156" t="n">
        <f aca="false">SUM(G30+G31)</f>
        <v>0</v>
      </c>
      <c r="H32" s="156" t="n">
        <f aca="false">SUM(H30+H31)</f>
        <v>0</v>
      </c>
      <c r="I32" s="156" t="n">
        <f aca="false">SUM(I30+I31)</f>
        <v>0</v>
      </c>
      <c r="J32" s="156" t="n">
        <f aca="false">SUM(J30+J31)</f>
        <v>0</v>
      </c>
      <c r="K32" s="156" t="n">
        <f aca="false">SUM(K30+K31)</f>
        <v>0</v>
      </c>
      <c r="L32" s="156" t="n">
        <f aca="false">SUM(L30+L31)</f>
        <v>0</v>
      </c>
      <c r="M32" s="156" t="n">
        <f aca="false">SUM(M30+M31)</f>
        <v>0</v>
      </c>
      <c r="N32" s="156" t="n">
        <f aca="false">SUM(N30+N31)</f>
        <v>0</v>
      </c>
      <c r="O32" s="321"/>
      <c r="P32" s="156" t="n">
        <f aca="false">SUM(P30+P31)</f>
        <v>0</v>
      </c>
      <c r="Q32" s="156" t="n">
        <f aca="false">SUM(Q30+Q31)</f>
        <v>0</v>
      </c>
      <c r="R32" s="156" t="n">
        <f aca="false">SUM(R30+R31)</f>
        <v>0</v>
      </c>
      <c r="S32" s="156" t="n">
        <f aca="false">SUM(S30+S31)</f>
        <v>0</v>
      </c>
      <c r="T32" s="156" t="n">
        <f aca="false">SUM(T30+T31)</f>
        <v>0</v>
      </c>
      <c r="U32" s="156" t="n">
        <f aca="false">SUM(U30+U31)</f>
        <v>0</v>
      </c>
      <c r="V32" s="156" t="n">
        <f aca="false">SUM(V30+V31)</f>
        <v>0</v>
      </c>
      <c r="W32" s="156" t="n">
        <f aca="false">SUM(W30+W31)</f>
        <v>0</v>
      </c>
      <c r="X32" s="156" t="n">
        <f aca="false">SUM(X30+X31)</f>
        <v>0</v>
      </c>
      <c r="Y32" s="156" t="n">
        <f aca="false">SUM(Y30+Y31)</f>
        <v>0</v>
      </c>
      <c r="Z32" s="156" t="n">
        <f aca="false">SUM(Z30+Z31)</f>
        <v>0</v>
      </c>
      <c r="AA32" s="156" t="n">
        <f aca="false">SUM(AA30+AA31)</f>
        <v>0</v>
      </c>
      <c r="AB32" s="163"/>
    </row>
    <row r="33" customFormat="false" ht="13.8" hidden="false" customHeight="false" outlineLevel="0" collapsed="false">
      <c r="A33" s="120" t="s">
        <v>194</v>
      </c>
      <c r="B33" s="120"/>
      <c r="C33" s="140" t="n">
        <f aca="false">IF(C31=0,'6a-CashFlowYear1'!N34-C26,'6a-CashFlowYear1'!N34+C31-C26)</f>
        <v>0</v>
      </c>
      <c r="D33" s="140" t="n">
        <f aca="false">D31+C33-D26</f>
        <v>0</v>
      </c>
      <c r="E33" s="140" t="n">
        <f aca="false">E31+D33-E26</f>
        <v>0</v>
      </c>
      <c r="F33" s="140" t="n">
        <f aca="false">F31+E33-F26</f>
        <v>0</v>
      </c>
      <c r="G33" s="140" t="n">
        <f aca="false">G31+F33-G26</f>
        <v>0</v>
      </c>
      <c r="H33" s="140" t="n">
        <f aca="false">H31+G33-H26</f>
        <v>0</v>
      </c>
      <c r="I33" s="140" t="n">
        <f aca="false">I31+H33-I26</f>
        <v>0</v>
      </c>
      <c r="J33" s="140" t="n">
        <f aca="false">J31+I33-J26</f>
        <v>0</v>
      </c>
      <c r="K33" s="140" t="n">
        <f aca="false">K31+J33-K26</f>
        <v>0</v>
      </c>
      <c r="L33" s="140" t="n">
        <f aca="false">L31+K33-L26</f>
        <v>0</v>
      </c>
      <c r="M33" s="140" t="n">
        <f aca="false">M31+L33-M26</f>
        <v>0</v>
      </c>
      <c r="N33" s="140" t="n">
        <f aca="false">N31+M33-N26</f>
        <v>0</v>
      </c>
      <c r="O33" s="120"/>
      <c r="P33" s="140" t="n">
        <f aca="false">IF(P31=0,N33-P26,N33+P31-P26)</f>
        <v>0</v>
      </c>
      <c r="Q33" s="140" t="n">
        <f aca="false">Q31+P33-Q26</f>
        <v>0</v>
      </c>
      <c r="R33" s="140" t="n">
        <f aca="false">R31+Q33-R26</f>
        <v>0</v>
      </c>
      <c r="S33" s="140" t="n">
        <f aca="false">S31+R33-S26</f>
        <v>0</v>
      </c>
      <c r="T33" s="140" t="n">
        <f aca="false">T31+S33-T26</f>
        <v>0</v>
      </c>
      <c r="U33" s="140" t="n">
        <f aca="false">U31+T33-U26</f>
        <v>0</v>
      </c>
      <c r="V33" s="140" t="n">
        <f aca="false">V31+U33-V26</f>
        <v>0</v>
      </c>
      <c r="W33" s="140" t="n">
        <f aca="false">W31+V33-W26</f>
        <v>0</v>
      </c>
      <c r="X33" s="140" t="n">
        <f aca="false">X31+W33-X26</f>
        <v>0</v>
      </c>
      <c r="Y33" s="140" t="n">
        <f aca="false">Y31+X33-Y26</f>
        <v>0</v>
      </c>
      <c r="Z33" s="140" t="n">
        <f aca="false">Z31+Y33-Z26</f>
        <v>0</v>
      </c>
      <c r="AA33" s="140" t="n">
        <f aca="false">AA31+Z33-AA26</f>
        <v>0</v>
      </c>
      <c r="AB33" s="163"/>
    </row>
  </sheetData>
  <sheetProtection sheet="true" password="cc3d" objects="true" scenarios="true" formatColumns="false" formatRows="false"/>
  <conditionalFormatting sqref="C24:N24,C26:N27">
    <cfRule type="expression" priority="2" aboveAverage="0" equalAverage="0" bottom="0" percent="0" rank="0" text="" dxfId="0">
      <formula>LEN(TRIM(C24))=0</formula>
    </cfRule>
  </conditionalFormatting>
  <conditionalFormatting sqref="C28:O28">
    <cfRule type="expression" priority="3" aboveAverage="0" equalAverage="0" bottom="0" percent="0" rank="0" text="" dxfId="1">
      <formula>ISERROR(C28)</formula>
    </cfRule>
  </conditionalFormatting>
  <conditionalFormatting sqref="C29:N30,D7:N7,D31:N31,C23:O23">
    <cfRule type="expression" priority="4" aboveAverage="0" equalAverage="0" bottom="0" percent="0" rank="0" text="" dxfId="2">
      <formula>ISERROR(C7)</formula>
    </cfRule>
  </conditionalFormatting>
  <conditionalFormatting sqref="C32:N32">
    <cfRule type="expression" priority="5" aboveAverage="0" equalAverage="0" bottom="0" percent="0" rank="0" text="" dxfId="3">
      <formula>ISERROR(C32)</formula>
    </cfRule>
  </conditionalFormatting>
  <conditionalFormatting sqref="C31:N31">
    <cfRule type="expression" priority="6" aboveAverage="0" equalAverage="0" bottom="0" percent="0" rank="0" text="" dxfId="4">
      <formula>LEN(TRIM(C31))=0</formula>
    </cfRule>
  </conditionalFormatting>
  <conditionalFormatting sqref="P24:AA24,P26:AA27">
    <cfRule type="expression" priority="7" aboveAverage="0" equalAverage="0" bottom="0" percent="0" rank="0" text="" dxfId="5">
      <formula>LEN(TRIM(P24))=0</formula>
    </cfRule>
  </conditionalFormatting>
  <conditionalFormatting sqref="P28:AB28,AB29">
    <cfRule type="expression" priority="8" aboveAverage="0" equalAverage="0" bottom="0" percent="0" rank="0" text="" dxfId="6">
      <formula>ISERROR(P28)</formula>
    </cfRule>
  </conditionalFormatting>
  <conditionalFormatting sqref="P29:AA30,Q31:AA31,Q7:AA7">
    <cfRule type="expression" priority="9" aboveAverage="0" equalAverage="0" bottom="0" percent="0" rank="0" text="" dxfId="7">
      <formula>ISERROR(P7)</formula>
    </cfRule>
  </conditionalFormatting>
  <conditionalFormatting sqref="P32:AA32">
    <cfRule type="expression" priority="10" aboveAverage="0" equalAverage="0" bottom="0" percent="0" rank="0" text="" dxfId="8">
      <formula>ISERROR(P32)</formula>
    </cfRule>
  </conditionalFormatting>
  <conditionalFormatting sqref="AB30:AB33">
    <cfRule type="expression" priority="11" aboveAverage="0" equalAverage="0" bottom="0" percent="0" rank="0" text="" dxfId="9">
      <formula>ISERROR(AB30)</formula>
    </cfRule>
  </conditionalFormatting>
  <conditionalFormatting sqref="P31:AA31">
    <cfRule type="expression" priority="12" aboveAverage="0" equalAverage="0" bottom="0" percent="0" rank="0" text="" dxfId="10">
      <formula>LEN(TRIM(P31))=0</formula>
    </cfRule>
  </conditionalFormatting>
  <conditionalFormatting sqref="P23:AA23">
    <cfRule type="expression" priority="13" aboveAverage="0" equalAverage="0" bottom="0" percent="0" rank="0" text="" dxfId="11">
      <formula>ISERROR(P23)</formula>
    </cfRule>
  </conditionalFormatting>
  <conditionalFormatting sqref="O29">
    <cfRule type="expression" priority="14" aboveAverage="0" equalAverage="0" bottom="0" percent="0" rank="0" text="" dxfId="12">
      <formula>ISERROR(O29)</formula>
    </cfRule>
  </conditionalFormatting>
  <conditionalFormatting sqref="C16:N16">
    <cfRule type="expression" priority="15" aboveAverage="0" equalAverage="0" bottom="0" percent="0" rank="0" text="" dxfId="13">
      <formula>LEN(TRIM(C16))=0</formula>
    </cfRule>
  </conditionalFormatting>
  <conditionalFormatting sqref="P16:AA16">
    <cfRule type="expression" priority="16" aboveAverage="0" equalAverage="0" bottom="0" percent="0" rank="0" text="" dxfId="14">
      <formula>LEN(TRIM(P16))=0</formula>
    </cfRule>
  </conditionalFormatting>
  <conditionalFormatting sqref="O31">
    <cfRule type="expression" priority="17" aboveAverage="0" equalAverage="0" bottom="0" percent="0" rank="0" text="" dxfId="15">
      <formula>ISERROR(O31)</formula>
    </cfRule>
  </conditionalFormatting>
  <dataValidations count="1">
    <dataValidation allowBlank="true" operator="between" showDropDown="false" showErrorMessage="true" showInputMessage="true" sqref="B4" type="textLength">
      <formula1>1</formula1>
      <formula2>15</formula2>
    </dataValidation>
  </dataValidations>
  <printOptions headings="false" gridLines="false" gridLinesSet="true" horizontalCentered="false" verticalCentered="false"/>
  <pageMargins left="0.7" right="0.7"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MT,Regular"&amp;12Cash Flow Forecast Years 1-3</oddHeader>
    <oddFooter>&amp;L&amp;F&amp;C&amp;A&amp;R&amp;D &amp;T</oddFooter>
  </headerFooter>
  <colBreaks count="1" manualBreakCount="1">
    <brk id="15" man="true" max="65535" min="0"/>
  </colBreaks>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O65"/>
  <sheetViews>
    <sheetView windowProtection="false" showFormulas="false" showGridLines="true" showRowColHeaders="true" showZeros="true" rightToLeft="false" tabSelected="false" showOutlineSymbols="true" defaultGridColor="true" view="normal" topLeftCell="A13" colorId="64" zoomScale="80" zoomScaleNormal="80" zoomScalePageLayoutView="100" workbookViewId="0">
      <selection pane="topLeft" activeCell="C30" activeCellId="0" sqref="C30"/>
    </sheetView>
  </sheetViews>
  <sheetFormatPr defaultRowHeight="13.8"/>
  <cols>
    <col collapsed="false" hidden="false" max="1" min="1" style="331" width="9.11336032388664"/>
    <col collapsed="false" hidden="false" max="2" min="2" style="331" width="46.6599190283401"/>
    <col collapsed="false" hidden="false" max="10" min="3" style="331" width="10.331983805668"/>
    <col collapsed="false" hidden="false" max="11" min="11" style="331" width="11.8906882591093"/>
    <col collapsed="false" hidden="false" max="12" min="12" style="331" width="10.331983805668"/>
    <col collapsed="false" hidden="false" max="13" min="13" style="331" width="9.99595141700405"/>
    <col collapsed="false" hidden="false" max="14" min="14" style="331" width="11.1133603238866"/>
    <col collapsed="false" hidden="false" max="15" min="15" style="331" width="14.8906882591093"/>
    <col collapsed="false" hidden="false" max="1025" min="16" style="331" width="9.11336032388664"/>
  </cols>
  <sheetData>
    <row r="1" customFormat="false" ht="13.8" hidden="false" customHeight="false" outlineLevel="0" collapsed="false">
      <c r="A1" s="0"/>
      <c r="B1" s="332"/>
      <c r="C1" s="332"/>
      <c r="D1" s="0"/>
      <c r="E1" s="0"/>
      <c r="F1" s="0"/>
      <c r="G1" s="0"/>
      <c r="H1" s="0"/>
      <c r="I1" s="0"/>
      <c r="J1" s="0"/>
      <c r="K1" s="0"/>
      <c r="L1" s="0"/>
      <c r="M1" s="0"/>
      <c r="N1" s="0"/>
      <c r="O1" s="0"/>
    </row>
    <row r="2" customFormat="false" ht="13.8" hidden="false" customHeight="false" outlineLevel="0" collapsed="false">
      <c r="A2" s="0"/>
      <c r="B2" s="316" t="s">
        <v>196</v>
      </c>
      <c r="C2" s="316"/>
      <c r="D2" s="0"/>
      <c r="E2" s="0"/>
      <c r="F2" s="0"/>
      <c r="G2" s="0"/>
      <c r="H2" s="0"/>
      <c r="I2" s="0"/>
      <c r="J2" s="0"/>
      <c r="K2" s="0"/>
      <c r="L2" s="0"/>
      <c r="M2" s="0"/>
      <c r="N2" s="0"/>
      <c r="O2" s="0"/>
    </row>
    <row r="3" customFormat="false" ht="13.8" hidden="false" customHeight="false" outlineLevel="0" collapsed="false">
      <c r="A3" s="0"/>
      <c r="B3" s="316"/>
      <c r="C3" s="237"/>
      <c r="D3" s="333"/>
      <c r="E3" s="0"/>
      <c r="F3" s="0"/>
      <c r="G3" s="0"/>
      <c r="H3" s="0"/>
      <c r="I3" s="0"/>
      <c r="J3" s="0"/>
      <c r="K3" s="0"/>
      <c r="L3" s="0"/>
      <c r="M3" s="0"/>
      <c r="N3" s="0"/>
      <c r="O3" s="0"/>
    </row>
    <row r="4" customFormat="false" ht="13.8" hidden="false" customHeight="false" outlineLevel="0" collapsed="false">
      <c r="A4" s="0"/>
      <c r="B4" s="334" t="s">
        <v>8</v>
      </c>
      <c r="C4" s="334" t="s">
        <v>9</v>
      </c>
      <c r="D4" s="334"/>
      <c r="E4" s="0"/>
      <c r="F4" s="0"/>
      <c r="G4" s="0"/>
      <c r="H4" s="0"/>
      <c r="I4" s="0"/>
      <c r="J4" s="0"/>
      <c r="K4" s="0"/>
      <c r="L4" s="0"/>
      <c r="M4" s="0"/>
      <c r="N4" s="0"/>
      <c r="O4" s="0"/>
    </row>
    <row r="5" customFormat="false" ht="13.8" hidden="false" customHeight="false" outlineLevel="0" collapsed="false">
      <c r="A5" s="0"/>
      <c r="B5" s="335" t="str">
        <f aca="false">IF(ISBLANK(Directions!C6), "Owner", Directions!C6)</f>
        <v>Owner</v>
      </c>
      <c r="C5" s="335" t="str">
        <f aca="false">IF(ISBLANK(Directions!D6), "Company 1", Directions!D6)</f>
        <v>Company 1</v>
      </c>
      <c r="D5" s="335"/>
      <c r="E5" s="0"/>
      <c r="F5" s="0"/>
      <c r="G5" s="0"/>
      <c r="H5" s="0"/>
      <c r="I5" s="0"/>
      <c r="J5" s="0"/>
      <c r="K5" s="0"/>
      <c r="L5" s="0"/>
      <c r="M5" s="0"/>
      <c r="N5" s="0"/>
      <c r="O5" s="0"/>
    </row>
    <row r="6" customFormat="false" ht="13.8" hidden="false" customHeight="false" outlineLevel="0" collapsed="false">
      <c r="A6" s="0"/>
      <c r="B6" s="335"/>
      <c r="C6" s="335"/>
      <c r="D6" s="0"/>
      <c r="E6" s="0"/>
      <c r="F6" s="0"/>
      <c r="G6" s="0"/>
      <c r="H6" s="0"/>
      <c r="I6" s="0"/>
      <c r="J6" s="0"/>
      <c r="K6" s="0"/>
      <c r="L6" s="0"/>
      <c r="M6" s="0"/>
      <c r="N6" s="0"/>
      <c r="O6" s="0"/>
    </row>
    <row r="7" customFormat="false" ht="14.4" hidden="false" customHeight="false" outlineLevel="0" collapsed="false">
      <c r="A7" s="0"/>
      <c r="B7" s="104"/>
      <c r="C7" s="104" t="str">
        <f aca="false">'2a-PayrollYear1'!F7</f>
        <v>Month 1</v>
      </c>
      <c r="D7" s="104" t="str">
        <f aca="false">'2a-PayrollYear1'!G7</f>
        <v>Month 2</v>
      </c>
      <c r="E7" s="104" t="str">
        <f aca="false">'2a-PayrollYear1'!H7</f>
        <v>Month 3</v>
      </c>
      <c r="F7" s="104" t="str">
        <f aca="false">'2a-PayrollYear1'!I7</f>
        <v>Month 4</v>
      </c>
      <c r="G7" s="104" t="str">
        <f aca="false">'2a-PayrollYear1'!J7</f>
        <v>Month 5</v>
      </c>
      <c r="H7" s="104" t="str">
        <f aca="false">'2a-PayrollYear1'!K7</f>
        <v>Month 6</v>
      </c>
      <c r="I7" s="104" t="str">
        <f aca="false">'2a-PayrollYear1'!L7</f>
        <v>Month 7</v>
      </c>
      <c r="J7" s="104" t="str">
        <f aca="false">'2a-PayrollYear1'!M7</f>
        <v>Month 8</v>
      </c>
      <c r="K7" s="104" t="str">
        <f aca="false">'2a-PayrollYear1'!N7</f>
        <v>Month 9</v>
      </c>
      <c r="L7" s="104" t="str">
        <f aca="false">'2a-PayrollYear1'!O7</f>
        <v>Month 10</v>
      </c>
      <c r="M7" s="104" t="str">
        <f aca="false">'2a-PayrollYear1'!P7</f>
        <v>Month 11</v>
      </c>
      <c r="N7" s="104" t="str">
        <f aca="false">'2a-PayrollYear1'!Q7</f>
        <v>Month 12</v>
      </c>
      <c r="O7" s="104" t="str">
        <f aca="false">'2a-PayrollYear1'!R7</f>
        <v>Annual Totals</v>
      </c>
    </row>
    <row r="8" customFormat="false" ht="14.4" hidden="false" customHeight="false" outlineLevel="0" collapsed="false">
      <c r="A8" s="0"/>
      <c r="B8" s="319" t="s">
        <v>197</v>
      </c>
      <c r="C8" s="106"/>
      <c r="D8" s="106"/>
      <c r="E8" s="106"/>
      <c r="F8" s="106"/>
      <c r="G8" s="106"/>
      <c r="H8" s="106"/>
      <c r="I8" s="106"/>
      <c r="J8" s="106"/>
      <c r="K8" s="106"/>
      <c r="L8" s="106"/>
      <c r="M8" s="106"/>
      <c r="N8" s="106"/>
      <c r="O8" s="106"/>
    </row>
    <row r="9" customFormat="false" ht="13.8" hidden="false" customHeight="false" outlineLevel="0" collapsed="false">
      <c r="A9" s="0"/>
      <c r="B9" s="336" t="str">
        <f aca="false">'3a-SalesForecastYear1'!B17</f>
        <v>Product 1</v>
      </c>
      <c r="C9" s="337" t="n">
        <f aca="false">'3a-SalesForecastYear1'!C19</f>
        <v>0</v>
      </c>
      <c r="D9" s="337" t="n">
        <f aca="false">'3a-SalesForecastYear1'!D19</f>
        <v>0</v>
      </c>
      <c r="E9" s="337" t="n">
        <f aca="false">'3a-SalesForecastYear1'!E19</f>
        <v>0</v>
      </c>
      <c r="F9" s="337" t="n">
        <f aca="false">'3a-SalesForecastYear1'!F19</f>
        <v>0</v>
      </c>
      <c r="G9" s="337" t="n">
        <f aca="false">'3a-SalesForecastYear1'!G19</f>
        <v>0</v>
      </c>
      <c r="H9" s="337" t="n">
        <f aca="false">'3a-SalesForecastYear1'!H19</f>
        <v>0</v>
      </c>
      <c r="I9" s="337" t="n">
        <f aca="false">'3a-SalesForecastYear1'!I19</f>
        <v>0</v>
      </c>
      <c r="J9" s="337" t="n">
        <f aca="false">'3a-SalesForecastYear1'!J19</f>
        <v>0</v>
      </c>
      <c r="K9" s="337" t="n">
        <f aca="false">'3a-SalesForecastYear1'!K19</f>
        <v>0</v>
      </c>
      <c r="L9" s="337" t="n">
        <f aca="false">'3a-SalesForecastYear1'!L19</f>
        <v>0</v>
      </c>
      <c r="M9" s="337" t="n">
        <f aca="false">'3a-SalesForecastYear1'!M19</f>
        <v>0</v>
      </c>
      <c r="N9" s="337" t="n">
        <f aca="false">'3a-SalesForecastYear1'!N19</f>
        <v>0</v>
      </c>
      <c r="O9" s="140" t="n">
        <f aca="false">SUM(C9:N9)</f>
        <v>0</v>
      </c>
    </row>
    <row r="10" customFormat="false" ht="13.8" hidden="false" customHeight="false" outlineLevel="0" collapsed="false">
      <c r="A10" s="0"/>
      <c r="B10" s="338" t="str">
        <f aca="false">'3a-SalesForecastYear1'!B23</f>
        <v>Product 2</v>
      </c>
      <c r="C10" s="337" t="n">
        <f aca="false">'3a-SalesForecastYear1'!C25</f>
        <v>0</v>
      </c>
      <c r="D10" s="337" t="n">
        <f aca="false">'3a-SalesForecastYear1'!D25</f>
        <v>0</v>
      </c>
      <c r="E10" s="337" t="n">
        <f aca="false">'3a-SalesForecastYear1'!E25</f>
        <v>0</v>
      </c>
      <c r="F10" s="337" t="n">
        <f aca="false">'3a-SalesForecastYear1'!F25</f>
        <v>0</v>
      </c>
      <c r="G10" s="337" t="n">
        <f aca="false">'3a-SalesForecastYear1'!G25</f>
        <v>0</v>
      </c>
      <c r="H10" s="337" t="n">
        <f aca="false">'3a-SalesForecastYear1'!H25</f>
        <v>0</v>
      </c>
      <c r="I10" s="337" t="n">
        <f aca="false">'3a-SalesForecastYear1'!I25</f>
        <v>0</v>
      </c>
      <c r="J10" s="337" t="n">
        <f aca="false">'3a-SalesForecastYear1'!J25</f>
        <v>0</v>
      </c>
      <c r="K10" s="337" t="n">
        <f aca="false">'3a-SalesForecastYear1'!K25</f>
        <v>0</v>
      </c>
      <c r="L10" s="337" t="n">
        <f aca="false">'3a-SalesForecastYear1'!L25</f>
        <v>0</v>
      </c>
      <c r="M10" s="337" t="n">
        <f aca="false">'3a-SalesForecastYear1'!M25</f>
        <v>0</v>
      </c>
      <c r="N10" s="337" t="n">
        <f aca="false">'3a-SalesForecastYear1'!N25</f>
        <v>0</v>
      </c>
      <c r="O10" s="140" t="n">
        <f aca="false">SUM(C10:N10)</f>
        <v>0</v>
      </c>
    </row>
    <row r="11" customFormat="false" ht="13.8" hidden="false" customHeight="false" outlineLevel="0" collapsed="false">
      <c r="A11" s="0"/>
      <c r="B11" s="339" t="str">
        <f aca="false">'3a-SalesForecastYear1'!B29</f>
        <v>Product 3</v>
      </c>
      <c r="C11" s="337" t="n">
        <f aca="false">'3a-SalesForecastYear1'!C31</f>
        <v>0</v>
      </c>
      <c r="D11" s="337" t="n">
        <f aca="false">'3a-SalesForecastYear1'!D31</f>
        <v>0</v>
      </c>
      <c r="E11" s="337" t="n">
        <f aca="false">'3a-SalesForecastYear1'!E31</f>
        <v>0</v>
      </c>
      <c r="F11" s="337" t="n">
        <f aca="false">'3a-SalesForecastYear1'!F31</f>
        <v>0</v>
      </c>
      <c r="G11" s="337" t="n">
        <f aca="false">'3a-SalesForecastYear1'!G31</f>
        <v>0</v>
      </c>
      <c r="H11" s="337" t="n">
        <f aca="false">'3a-SalesForecastYear1'!H31</f>
        <v>0</v>
      </c>
      <c r="I11" s="337" t="n">
        <f aca="false">'3a-SalesForecastYear1'!I31</f>
        <v>0</v>
      </c>
      <c r="J11" s="337" t="n">
        <f aca="false">'3a-SalesForecastYear1'!J31</f>
        <v>0</v>
      </c>
      <c r="K11" s="337" t="n">
        <f aca="false">'3a-SalesForecastYear1'!K31</f>
        <v>0</v>
      </c>
      <c r="L11" s="337" t="n">
        <f aca="false">'3a-SalesForecastYear1'!L31</f>
        <v>0</v>
      </c>
      <c r="M11" s="337" t="n">
        <f aca="false">'3a-SalesForecastYear1'!M31</f>
        <v>0</v>
      </c>
      <c r="N11" s="337" t="n">
        <f aca="false">'3a-SalesForecastYear1'!N31</f>
        <v>0</v>
      </c>
      <c r="O11" s="140" t="n">
        <f aca="false">SUM(C11:N11)</f>
        <v>0</v>
      </c>
    </row>
    <row r="12" customFormat="false" ht="13.8" hidden="false" customHeight="false" outlineLevel="0" collapsed="false">
      <c r="A12" s="0"/>
      <c r="B12" s="339" t="str">
        <f aca="false">'3a-SalesForecastYear1'!B35</f>
        <v>Product 4</v>
      </c>
      <c r="C12" s="337" t="n">
        <f aca="false">'3a-SalesForecastYear1'!C37</f>
        <v>0</v>
      </c>
      <c r="D12" s="337" t="n">
        <f aca="false">'3a-SalesForecastYear1'!D37</f>
        <v>0</v>
      </c>
      <c r="E12" s="337" t="n">
        <f aca="false">'3a-SalesForecastYear1'!E37</f>
        <v>0</v>
      </c>
      <c r="F12" s="337" t="n">
        <f aca="false">'3a-SalesForecastYear1'!F37</f>
        <v>0</v>
      </c>
      <c r="G12" s="337" t="n">
        <f aca="false">'3a-SalesForecastYear1'!G37</f>
        <v>0</v>
      </c>
      <c r="H12" s="337" t="n">
        <f aca="false">'3a-SalesForecastYear1'!H37</f>
        <v>0</v>
      </c>
      <c r="I12" s="337" t="n">
        <f aca="false">'3a-SalesForecastYear1'!I37</f>
        <v>0</v>
      </c>
      <c r="J12" s="337" t="n">
        <f aca="false">'3a-SalesForecastYear1'!J37</f>
        <v>0</v>
      </c>
      <c r="K12" s="337" t="n">
        <f aca="false">'3a-SalesForecastYear1'!K37</f>
        <v>0</v>
      </c>
      <c r="L12" s="337" t="n">
        <f aca="false">'3a-SalesForecastYear1'!L37</f>
        <v>0</v>
      </c>
      <c r="M12" s="337" t="n">
        <f aca="false">'3a-SalesForecastYear1'!M37</f>
        <v>0</v>
      </c>
      <c r="N12" s="337" t="n">
        <f aca="false">'3a-SalesForecastYear1'!N37</f>
        <v>0</v>
      </c>
      <c r="O12" s="140" t="n">
        <f aca="false">SUM(C12:N12)</f>
        <v>0</v>
      </c>
    </row>
    <row r="13" customFormat="false" ht="13.8" hidden="false" customHeight="false" outlineLevel="0" collapsed="false">
      <c r="A13" s="0"/>
      <c r="B13" s="339" t="str">
        <f aca="false">'3a-SalesForecastYear1'!B41</f>
        <v>Product 5</v>
      </c>
      <c r="C13" s="337" t="n">
        <f aca="false">'3a-SalesForecastYear1'!C43</f>
        <v>0</v>
      </c>
      <c r="D13" s="337" t="n">
        <f aca="false">'3a-SalesForecastYear1'!D43</f>
        <v>0</v>
      </c>
      <c r="E13" s="337" t="n">
        <f aca="false">'3a-SalesForecastYear1'!E43</f>
        <v>0</v>
      </c>
      <c r="F13" s="337" t="n">
        <f aca="false">'3a-SalesForecastYear1'!F43</f>
        <v>0</v>
      </c>
      <c r="G13" s="337" t="n">
        <f aca="false">'3a-SalesForecastYear1'!G43</f>
        <v>0</v>
      </c>
      <c r="H13" s="337" t="n">
        <f aca="false">'3a-SalesForecastYear1'!H43</f>
        <v>0</v>
      </c>
      <c r="I13" s="337" t="n">
        <f aca="false">'3a-SalesForecastYear1'!I43</f>
        <v>0</v>
      </c>
      <c r="J13" s="337" t="n">
        <f aca="false">'3a-SalesForecastYear1'!J43</f>
        <v>0</v>
      </c>
      <c r="K13" s="337" t="n">
        <f aca="false">'3a-SalesForecastYear1'!K43</f>
        <v>0</v>
      </c>
      <c r="L13" s="337" t="n">
        <f aca="false">'3a-SalesForecastYear1'!L43</f>
        <v>0</v>
      </c>
      <c r="M13" s="337" t="n">
        <f aca="false">'3a-SalesForecastYear1'!M43</f>
        <v>0</v>
      </c>
      <c r="N13" s="337" t="n">
        <f aca="false">'3a-SalesForecastYear1'!N43</f>
        <v>0</v>
      </c>
      <c r="O13" s="140" t="n">
        <f aca="false">SUM(C13:N13)</f>
        <v>0</v>
      </c>
    </row>
    <row r="14" customFormat="false" ht="13.8" hidden="false" customHeight="false" outlineLevel="0" collapsed="false">
      <c r="A14" s="0"/>
      <c r="B14" s="339" t="str">
        <f aca="false">'3a-SalesForecastYear1'!B47</f>
        <v>Product 6</v>
      </c>
      <c r="C14" s="337" t="n">
        <f aca="false">'3a-SalesForecastYear1'!C49</f>
        <v>0</v>
      </c>
      <c r="D14" s="337" t="n">
        <f aca="false">'3a-SalesForecastYear1'!D49</f>
        <v>0</v>
      </c>
      <c r="E14" s="337" t="n">
        <f aca="false">'3a-SalesForecastYear1'!E49</f>
        <v>0</v>
      </c>
      <c r="F14" s="337" t="n">
        <f aca="false">'3a-SalesForecastYear1'!F49</f>
        <v>0</v>
      </c>
      <c r="G14" s="337" t="n">
        <f aca="false">'3a-SalesForecastYear1'!G49</f>
        <v>0</v>
      </c>
      <c r="H14" s="337" t="n">
        <f aca="false">'3a-SalesForecastYear1'!H49</f>
        <v>0</v>
      </c>
      <c r="I14" s="337" t="n">
        <f aca="false">'3a-SalesForecastYear1'!I49</f>
        <v>0</v>
      </c>
      <c r="J14" s="337" t="n">
        <f aca="false">'3a-SalesForecastYear1'!J49</f>
        <v>0</v>
      </c>
      <c r="K14" s="337" t="n">
        <f aca="false">'3a-SalesForecastYear1'!K49</f>
        <v>0</v>
      </c>
      <c r="L14" s="337" t="n">
        <f aca="false">'3a-SalesForecastYear1'!L49</f>
        <v>0</v>
      </c>
      <c r="M14" s="337" t="n">
        <f aca="false">'3a-SalesForecastYear1'!M49</f>
        <v>0</v>
      </c>
      <c r="N14" s="337" t="n">
        <f aca="false">'3a-SalesForecastYear1'!N49</f>
        <v>0</v>
      </c>
      <c r="O14" s="140" t="n">
        <f aca="false">SUM(C14:N14)</f>
        <v>0</v>
      </c>
    </row>
    <row r="15" customFormat="false" ht="13.8" hidden="false" customHeight="false" outlineLevel="0" collapsed="false">
      <c r="A15" s="0"/>
      <c r="B15" s="321" t="s">
        <v>198</v>
      </c>
      <c r="C15" s="340" t="n">
        <f aca="false">SUM(C9:C14)</f>
        <v>0</v>
      </c>
      <c r="D15" s="340" t="n">
        <f aca="false">SUM(D9:D14)</f>
        <v>0</v>
      </c>
      <c r="E15" s="340" t="n">
        <f aca="false">SUM(E9:E14)</f>
        <v>0</v>
      </c>
      <c r="F15" s="340" t="n">
        <f aca="false">SUM(F9:F14)</f>
        <v>0</v>
      </c>
      <c r="G15" s="340" t="n">
        <f aca="false">SUM(G9:G14)</f>
        <v>0</v>
      </c>
      <c r="H15" s="340" t="n">
        <f aca="false">SUM(H9:H14)</f>
        <v>0</v>
      </c>
      <c r="I15" s="340" t="n">
        <f aca="false">SUM(I9:I14)</f>
        <v>0</v>
      </c>
      <c r="J15" s="340" t="n">
        <f aca="false">SUM(J9:J14)</f>
        <v>0</v>
      </c>
      <c r="K15" s="340" t="n">
        <f aca="false">SUM(K9:K14)</f>
        <v>0</v>
      </c>
      <c r="L15" s="340" t="n">
        <f aca="false">SUM(L9:L14)</f>
        <v>0</v>
      </c>
      <c r="M15" s="340" t="n">
        <f aca="false">SUM(M9:M14)</f>
        <v>0</v>
      </c>
      <c r="N15" s="340" t="n">
        <f aca="false">SUM(N9:N14)</f>
        <v>0</v>
      </c>
      <c r="O15" s="140" t="n">
        <f aca="false">SUM(C15:N15)</f>
        <v>0</v>
      </c>
    </row>
    <row r="16" customFormat="false" ht="13.8" hidden="false" customHeight="false" outlineLevel="0" collapsed="false">
      <c r="A16" s="0"/>
      <c r="B16" s="321" t="s">
        <v>178</v>
      </c>
      <c r="C16" s="113"/>
      <c r="D16" s="113"/>
      <c r="E16" s="113"/>
      <c r="F16" s="113"/>
      <c r="G16" s="113"/>
      <c r="H16" s="113"/>
      <c r="I16" s="113"/>
      <c r="J16" s="113"/>
      <c r="K16" s="113"/>
      <c r="L16" s="113"/>
      <c r="M16" s="113"/>
      <c r="N16" s="113"/>
      <c r="O16" s="140"/>
    </row>
    <row r="17" customFormat="false" ht="13.8" hidden="false" customHeight="false" outlineLevel="0" collapsed="false">
      <c r="A17" s="0"/>
      <c r="B17" s="336" t="str">
        <f aca="false">'3a-SalesForecastYear1'!B17</f>
        <v>Product 1</v>
      </c>
      <c r="C17" s="337" t="n">
        <f aca="false">'3a-SalesForecastYear1'!C20</f>
        <v>0</v>
      </c>
      <c r="D17" s="337" t="n">
        <f aca="false">'3a-SalesForecastYear1'!D20</f>
        <v>0</v>
      </c>
      <c r="E17" s="337" t="n">
        <f aca="false">'3a-SalesForecastYear1'!E20</f>
        <v>0</v>
      </c>
      <c r="F17" s="337" t="n">
        <f aca="false">'3a-SalesForecastYear1'!F20</f>
        <v>0</v>
      </c>
      <c r="G17" s="337" t="n">
        <f aca="false">'3a-SalesForecastYear1'!G20</f>
        <v>0</v>
      </c>
      <c r="H17" s="337" t="n">
        <f aca="false">'3a-SalesForecastYear1'!H20</f>
        <v>0</v>
      </c>
      <c r="I17" s="337" t="n">
        <f aca="false">'3a-SalesForecastYear1'!I20</f>
        <v>0</v>
      </c>
      <c r="J17" s="337" t="n">
        <f aca="false">'3a-SalesForecastYear1'!J20</f>
        <v>0</v>
      </c>
      <c r="K17" s="337" t="n">
        <f aca="false">'3a-SalesForecastYear1'!K20</f>
        <v>0</v>
      </c>
      <c r="L17" s="337" t="n">
        <f aca="false">'3a-SalesForecastYear1'!L20</f>
        <v>0</v>
      </c>
      <c r="M17" s="337" t="n">
        <f aca="false">'3a-SalesForecastYear1'!M20</f>
        <v>0</v>
      </c>
      <c r="N17" s="337" t="n">
        <f aca="false">'3a-SalesForecastYear1'!N20</f>
        <v>0</v>
      </c>
      <c r="O17" s="140" t="n">
        <f aca="false">SUM(C17:N17)</f>
        <v>0</v>
      </c>
    </row>
    <row r="18" customFormat="false" ht="13.8" hidden="false" customHeight="false" outlineLevel="0" collapsed="false">
      <c r="A18" s="0"/>
      <c r="B18" s="338" t="str">
        <f aca="false">'3a-SalesForecastYear1'!B23</f>
        <v>Product 2</v>
      </c>
      <c r="C18" s="337" t="n">
        <f aca="false">'3a-SalesForecastYear1'!C26</f>
        <v>0</v>
      </c>
      <c r="D18" s="337" t="n">
        <f aca="false">'3a-SalesForecastYear1'!D26</f>
        <v>0</v>
      </c>
      <c r="E18" s="337" t="n">
        <f aca="false">'3a-SalesForecastYear1'!E26</f>
        <v>0</v>
      </c>
      <c r="F18" s="337" t="n">
        <f aca="false">'3a-SalesForecastYear1'!F26</f>
        <v>0</v>
      </c>
      <c r="G18" s="337" t="n">
        <f aca="false">'3a-SalesForecastYear1'!G26</f>
        <v>0</v>
      </c>
      <c r="H18" s="337" t="n">
        <f aca="false">'3a-SalesForecastYear1'!H26</f>
        <v>0</v>
      </c>
      <c r="I18" s="337" t="n">
        <f aca="false">'3a-SalesForecastYear1'!I26</f>
        <v>0</v>
      </c>
      <c r="J18" s="337" t="n">
        <f aca="false">'3a-SalesForecastYear1'!J26</f>
        <v>0</v>
      </c>
      <c r="K18" s="337" t="n">
        <f aca="false">'3a-SalesForecastYear1'!K26</f>
        <v>0</v>
      </c>
      <c r="L18" s="337" t="n">
        <f aca="false">'3a-SalesForecastYear1'!L26</f>
        <v>0</v>
      </c>
      <c r="M18" s="337" t="n">
        <f aca="false">'3a-SalesForecastYear1'!M26</f>
        <v>0</v>
      </c>
      <c r="N18" s="337" t="n">
        <f aca="false">'3a-SalesForecastYear1'!N26</f>
        <v>0</v>
      </c>
      <c r="O18" s="140" t="n">
        <f aca="false">SUM(C18:N18)</f>
        <v>0</v>
      </c>
    </row>
    <row r="19" customFormat="false" ht="13.8" hidden="false" customHeight="false" outlineLevel="0" collapsed="false">
      <c r="A19" s="0"/>
      <c r="B19" s="339" t="str">
        <f aca="false">'3a-SalesForecastYear1'!B29</f>
        <v>Product 3</v>
      </c>
      <c r="C19" s="337" t="n">
        <f aca="false">'3a-SalesForecastYear1'!C32</f>
        <v>0</v>
      </c>
      <c r="D19" s="337" t="n">
        <f aca="false">'3a-SalesForecastYear1'!D32</f>
        <v>0</v>
      </c>
      <c r="E19" s="337" t="n">
        <f aca="false">'3a-SalesForecastYear1'!E32</f>
        <v>0</v>
      </c>
      <c r="F19" s="337" t="n">
        <f aca="false">'3a-SalesForecastYear1'!F32</f>
        <v>0</v>
      </c>
      <c r="G19" s="337" t="n">
        <f aca="false">'3a-SalesForecastYear1'!G32</f>
        <v>0</v>
      </c>
      <c r="H19" s="337" t="n">
        <f aca="false">'3a-SalesForecastYear1'!H32</f>
        <v>0</v>
      </c>
      <c r="I19" s="337" t="n">
        <f aca="false">'3a-SalesForecastYear1'!I32</f>
        <v>0</v>
      </c>
      <c r="J19" s="337" t="n">
        <f aca="false">'3a-SalesForecastYear1'!J32</f>
        <v>0</v>
      </c>
      <c r="K19" s="337" t="n">
        <f aca="false">'3a-SalesForecastYear1'!K32</f>
        <v>0</v>
      </c>
      <c r="L19" s="337" t="n">
        <f aca="false">'3a-SalesForecastYear1'!L32</f>
        <v>0</v>
      </c>
      <c r="M19" s="337" t="n">
        <f aca="false">'3a-SalesForecastYear1'!M32</f>
        <v>0</v>
      </c>
      <c r="N19" s="337" t="n">
        <f aca="false">'3a-SalesForecastYear1'!N32</f>
        <v>0</v>
      </c>
      <c r="O19" s="140" t="n">
        <f aca="false">SUM(C19:N19)</f>
        <v>0</v>
      </c>
    </row>
    <row r="20" customFormat="false" ht="13.8" hidden="false" customHeight="false" outlineLevel="0" collapsed="false">
      <c r="A20" s="0"/>
      <c r="B20" s="339" t="str">
        <f aca="false">'3a-SalesForecastYear1'!B35</f>
        <v>Product 4</v>
      </c>
      <c r="C20" s="337" t="n">
        <f aca="false">'3a-SalesForecastYear1'!C38</f>
        <v>0</v>
      </c>
      <c r="D20" s="337" t="n">
        <f aca="false">'3a-SalesForecastYear1'!D38</f>
        <v>0</v>
      </c>
      <c r="E20" s="337" t="n">
        <f aca="false">'3a-SalesForecastYear1'!E38</f>
        <v>0</v>
      </c>
      <c r="F20" s="337" t="n">
        <f aca="false">'3a-SalesForecastYear1'!F38</f>
        <v>0</v>
      </c>
      <c r="G20" s="337" t="n">
        <f aca="false">'3a-SalesForecastYear1'!G38</f>
        <v>0</v>
      </c>
      <c r="H20" s="337" t="n">
        <f aca="false">'3a-SalesForecastYear1'!H38</f>
        <v>0</v>
      </c>
      <c r="I20" s="337" t="n">
        <f aca="false">'3a-SalesForecastYear1'!I38</f>
        <v>0</v>
      </c>
      <c r="J20" s="337" t="n">
        <f aca="false">'3a-SalesForecastYear1'!J38</f>
        <v>0</v>
      </c>
      <c r="K20" s="337" t="n">
        <f aca="false">'3a-SalesForecastYear1'!K38</f>
        <v>0</v>
      </c>
      <c r="L20" s="337" t="n">
        <f aca="false">'3a-SalesForecastYear1'!L38</f>
        <v>0</v>
      </c>
      <c r="M20" s="337" t="n">
        <f aca="false">'3a-SalesForecastYear1'!M38</f>
        <v>0</v>
      </c>
      <c r="N20" s="337" t="n">
        <f aca="false">'3a-SalesForecastYear1'!N38</f>
        <v>0</v>
      </c>
      <c r="O20" s="140" t="n">
        <f aca="false">SUM(C20:N20)</f>
        <v>0</v>
      </c>
    </row>
    <row r="21" customFormat="false" ht="13.8" hidden="false" customHeight="false" outlineLevel="0" collapsed="false">
      <c r="A21" s="0"/>
      <c r="B21" s="339" t="str">
        <f aca="false">'3a-SalesForecastYear1'!B41</f>
        <v>Product 5</v>
      </c>
      <c r="C21" s="337" t="n">
        <f aca="false">'3a-SalesForecastYear1'!C44</f>
        <v>0</v>
      </c>
      <c r="D21" s="337" t="n">
        <f aca="false">'3a-SalesForecastYear1'!D44</f>
        <v>0</v>
      </c>
      <c r="E21" s="337" t="n">
        <f aca="false">'3a-SalesForecastYear1'!E44</f>
        <v>0</v>
      </c>
      <c r="F21" s="337" t="n">
        <f aca="false">'3a-SalesForecastYear1'!F44</f>
        <v>0</v>
      </c>
      <c r="G21" s="337" t="n">
        <f aca="false">'3a-SalesForecastYear1'!G44</f>
        <v>0</v>
      </c>
      <c r="H21" s="337" t="n">
        <f aca="false">'3a-SalesForecastYear1'!H44</f>
        <v>0</v>
      </c>
      <c r="I21" s="337" t="n">
        <f aca="false">'3a-SalesForecastYear1'!I44</f>
        <v>0</v>
      </c>
      <c r="J21" s="337" t="n">
        <f aca="false">'3a-SalesForecastYear1'!J44</f>
        <v>0</v>
      </c>
      <c r="K21" s="337" t="n">
        <f aca="false">'3a-SalesForecastYear1'!K44</f>
        <v>0</v>
      </c>
      <c r="L21" s="337" t="n">
        <f aca="false">'3a-SalesForecastYear1'!L44</f>
        <v>0</v>
      </c>
      <c r="M21" s="337" t="n">
        <f aca="false">'3a-SalesForecastYear1'!M44</f>
        <v>0</v>
      </c>
      <c r="N21" s="337" t="n">
        <f aca="false">'3a-SalesForecastYear1'!N44</f>
        <v>0</v>
      </c>
      <c r="O21" s="140" t="n">
        <f aca="false">SUM(C21:N21)</f>
        <v>0</v>
      </c>
    </row>
    <row r="22" customFormat="false" ht="13.8" hidden="false" customHeight="false" outlineLevel="0" collapsed="false">
      <c r="A22" s="0"/>
      <c r="B22" s="339" t="str">
        <f aca="false">'3a-SalesForecastYear1'!B47</f>
        <v>Product 6</v>
      </c>
      <c r="C22" s="337" t="n">
        <f aca="false">'3a-SalesForecastYear1'!C50</f>
        <v>0</v>
      </c>
      <c r="D22" s="337" t="n">
        <f aca="false">'3a-SalesForecastYear1'!D50</f>
        <v>0</v>
      </c>
      <c r="E22" s="337" t="n">
        <f aca="false">'3a-SalesForecastYear1'!E50</f>
        <v>0</v>
      </c>
      <c r="F22" s="337" t="n">
        <f aca="false">'3a-SalesForecastYear1'!F50</f>
        <v>0</v>
      </c>
      <c r="G22" s="337" t="n">
        <f aca="false">'3a-SalesForecastYear1'!G50</f>
        <v>0</v>
      </c>
      <c r="H22" s="337" t="n">
        <f aca="false">'3a-SalesForecastYear1'!H50</f>
        <v>0</v>
      </c>
      <c r="I22" s="337" t="n">
        <f aca="false">'3a-SalesForecastYear1'!I50</f>
        <v>0</v>
      </c>
      <c r="J22" s="337" t="n">
        <f aca="false">'3a-SalesForecastYear1'!J50</f>
        <v>0</v>
      </c>
      <c r="K22" s="337" t="n">
        <f aca="false">'3a-SalesForecastYear1'!K50</f>
        <v>0</v>
      </c>
      <c r="L22" s="337" t="n">
        <f aca="false">'3a-SalesForecastYear1'!L50</f>
        <v>0</v>
      </c>
      <c r="M22" s="337" t="n">
        <f aca="false">'3a-SalesForecastYear1'!M50</f>
        <v>0</v>
      </c>
      <c r="N22" s="337" t="n">
        <f aca="false">'3a-SalesForecastYear1'!N50</f>
        <v>0</v>
      </c>
      <c r="O22" s="140" t="n">
        <f aca="false">SUM(C22:N22)</f>
        <v>0</v>
      </c>
    </row>
    <row r="23" customFormat="false" ht="13.8" hidden="false" customHeight="false" outlineLevel="0" collapsed="false">
      <c r="A23" s="0"/>
      <c r="B23" s="341" t="s">
        <v>107</v>
      </c>
      <c r="C23" s="340" t="n">
        <f aca="false">SUM(C17:C22)</f>
        <v>0</v>
      </c>
      <c r="D23" s="340" t="n">
        <f aca="false">SUM(D17:D22)</f>
        <v>0</v>
      </c>
      <c r="E23" s="340" t="n">
        <f aca="false">SUM(E17:E22)</f>
        <v>0</v>
      </c>
      <c r="F23" s="340" t="n">
        <f aca="false">SUM(F17:F22)</f>
        <v>0</v>
      </c>
      <c r="G23" s="340" t="n">
        <f aca="false">SUM(G17:G22)</f>
        <v>0</v>
      </c>
      <c r="H23" s="340" t="n">
        <f aca="false">SUM(H17:H22)</f>
        <v>0</v>
      </c>
      <c r="I23" s="340" t="n">
        <f aca="false">SUM(I17:I22)</f>
        <v>0</v>
      </c>
      <c r="J23" s="340" t="n">
        <f aca="false">SUM(J17:J22)</f>
        <v>0</v>
      </c>
      <c r="K23" s="340" t="n">
        <f aca="false">SUM(K17:K22)</f>
        <v>0</v>
      </c>
      <c r="L23" s="340" t="n">
        <f aca="false">SUM(L17:L22)</f>
        <v>0</v>
      </c>
      <c r="M23" s="340" t="n">
        <f aca="false">SUM(M17:M22)</f>
        <v>0</v>
      </c>
      <c r="N23" s="340" t="n">
        <f aca="false">SUM(N17:N22)</f>
        <v>0</v>
      </c>
      <c r="O23" s="140" t="n">
        <f aca="false">SUM(C23:N23)</f>
        <v>0</v>
      </c>
    </row>
    <row r="24" customFormat="false" ht="13.8" hidden="false" customHeight="false" outlineLevel="0" collapsed="false">
      <c r="A24" s="0"/>
      <c r="B24" s="321" t="s">
        <v>199</v>
      </c>
      <c r="C24" s="340" t="n">
        <f aca="false">C15-C23</f>
        <v>0</v>
      </c>
      <c r="D24" s="340" t="n">
        <f aca="false">D15-D23</f>
        <v>0</v>
      </c>
      <c r="E24" s="340" t="n">
        <f aca="false">E15-E23</f>
        <v>0</v>
      </c>
      <c r="F24" s="340" t="n">
        <f aca="false">F15-F23</f>
        <v>0</v>
      </c>
      <c r="G24" s="340" t="n">
        <f aca="false">G15-G23</f>
        <v>0</v>
      </c>
      <c r="H24" s="340" t="n">
        <f aca="false">H15-H23</f>
        <v>0</v>
      </c>
      <c r="I24" s="340" t="n">
        <f aca="false">I15-I23</f>
        <v>0</v>
      </c>
      <c r="J24" s="340" t="n">
        <f aca="false">J15-J23</f>
        <v>0</v>
      </c>
      <c r="K24" s="340" t="n">
        <f aca="false">K15-K23</f>
        <v>0</v>
      </c>
      <c r="L24" s="340" t="n">
        <f aca="false">L15-L23</f>
        <v>0</v>
      </c>
      <c r="M24" s="340" t="n">
        <f aca="false">M15-M23</f>
        <v>0</v>
      </c>
      <c r="N24" s="340" t="n">
        <f aca="false">N15-N23</f>
        <v>0</v>
      </c>
      <c r="O24" s="140" t="n">
        <f aca="false">SUM(C24:N24)</f>
        <v>0</v>
      </c>
    </row>
    <row r="25" customFormat="false" ht="13.8" hidden="false" customHeight="false" outlineLevel="0" collapsed="false">
      <c r="A25" s="0"/>
      <c r="B25" s="321" t="s">
        <v>181</v>
      </c>
      <c r="C25" s="340" t="n">
        <f aca="false">'2a-PayrollYear1'!F25</f>
        <v>0</v>
      </c>
      <c r="D25" s="340" t="n">
        <f aca="false">'2a-PayrollYear1'!G25</f>
        <v>0</v>
      </c>
      <c r="E25" s="340" t="n">
        <f aca="false">'2a-PayrollYear1'!H25</f>
        <v>0</v>
      </c>
      <c r="F25" s="340" t="n">
        <f aca="false">'2a-PayrollYear1'!I25</f>
        <v>0</v>
      </c>
      <c r="G25" s="340" t="n">
        <f aca="false">'2a-PayrollYear1'!J25</f>
        <v>0</v>
      </c>
      <c r="H25" s="340" t="n">
        <f aca="false">'2a-PayrollYear1'!K25</f>
        <v>0</v>
      </c>
      <c r="I25" s="340" t="n">
        <f aca="false">'2a-PayrollYear1'!L25</f>
        <v>0</v>
      </c>
      <c r="J25" s="340" t="n">
        <f aca="false">'2a-PayrollYear1'!M25</f>
        <v>0</v>
      </c>
      <c r="K25" s="340" t="n">
        <f aca="false">'2a-PayrollYear1'!N25</f>
        <v>0</v>
      </c>
      <c r="L25" s="340" t="n">
        <f aca="false">'2a-PayrollYear1'!O25</f>
        <v>0</v>
      </c>
      <c r="M25" s="340" t="n">
        <f aca="false">'2a-PayrollYear1'!P25</f>
        <v>0</v>
      </c>
      <c r="N25" s="340" t="n">
        <f aca="false">'2a-PayrollYear1'!Q25</f>
        <v>0</v>
      </c>
      <c r="O25" s="140" t="n">
        <f aca="false">SUM(C25:N25)</f>
        <v>0</v>
      </c>
    </row>
    <row r="26" customFormat="false" ht="13.8" hidden="false" customHeight="false" outlineLevel="0" collapsed="false">
      <c r="A26" s="0"/>
      <c r="B26" s="321" t="s">
        <v>180</v>
      </c>
      <c r="C26" s="113"/>
      <c r="D26" s="113"/>
      <c r="E26" s="113"/>
      <c r="F26" s="113"/>
      <c r="G26" s="113"/>
      <c r="H26" s="113"/>
      <c r="I26" s="113"/>
      <c r="J26" s="113"/>
      <c r="K26" s="113"/>
      <c r="L26" s="113"/>
      <c r="M26" s="113"/>
      <c r="N26" s="113"/>
      <c r="O26" s="140"/>
    </row>
    <row r="27" customFormat="false" ht="13.8" hidden="false" customHeight="false" outlineLevel="0" collapsed="false">
      <c r="A27" s="0"/>
      <c r="B27" s="342" t="str">
        <f aca="false">'5a-OpExYear1'!B10</f>
        <v>Advertising</v>
      </c>
      <c r="C27" s="337" t="n">
        <f aca="false">'5a-OpExYear1'!C10</f>
        <v>0</v>
      </c>
      <c r="D27" s="337" t="n">
        <f aca="false">'5a-OpExYear1'!D10</f>
        <v>0</v>
      </c>
      <c r="E27" s="337" t="n">
        <f aca="false">'5a-OpExYear1'!E10</f>
        <v>0</v>
      </c>
      <c r="F27" s="337" t="n">
        <f aca="false">'5a-OpExYear1'!F10</f>
        <v>0</v>
      </c>
      <c r="G27" s="337" t="n">
        <f aca="false">'5a-OpExYear1'!G10</f>
        <v>0</v>
      </c>
      <c r="H27" s="337" t="n">
        <f aca="false">'5a-OpExYear1'!H10</f>
        <v>0</v>
      </c>
      <c r="I27" s="337" t="n">
        <f aca="false">'5a-OpExYear1'!I10</f>
        <v>0</v>
      </c>
      <c r="J27" s="337" t="n">
        <f aca="false">'5a-OpExYear1'!J10</f>
        <v>0</v>
      </c>
      <c r="K27" s="337" t="n">
        <f aca="false">'5a-OpExYear1'!K10</f>
        <v>0</v>
      </c>
      <c r="L27" s="337" t="n">
        <f aca="false">'5a-OpExYear1'!L10</f>
        <v>0</v>
      </c>
      <c r="M27" s="337" t="n">
        <f aca="false">'5a-OpExYear1'!M10</f>
        <v>0</v>
      </c>
      <c r="N27" s="337" t="n">
        <f aca="false">'5a-OpExYear1'!N10</f>
        <v>0</v>
      </c>
      <c r="O27" s="140" t="n">
        <f aca="false">SUM(C27:N27)</f>
        <v>0</v>
      </c>
    </row>
    <row r="28" customFormat="false" ht="13.8" hidden="false" customHeight="false" outlineLevel="0" collapsed="false">
      <c r="A28" s="0"/>
      <c r="B28" s="342" t="str">
        <f aca="false">'5a-OpExYear1'!B11</f>
        <v>Car and Truck Expenses</v>
      </c>
      <c r="C28" s="337" t="n">
        <f aca="false">'5a-OpExYear1'!C11</f>
        <v>0</v>
      </c>
      <c r="D28" s="337" t="n">
        <f aca="false">'5a-OpExYear1'!D11</f>
        <v>0</v>
      </c>
      <c r="E28" s="337" t="n">
        <f aca="false">'5a-OpExYear1'!E11</f>
        <v>0</v>
      </c>
      <c r="F28" s="337" t="n">
        <f aca="false">'5a-OpExYear1'!F11</f>
        <v>0</v>
      </c>
      <c r="G28" s="337" t="n">
        <f aca="false">'5a-OpExYear1'!G11</f>
        <v>0</v>
      </c>
      <c r="H28" s="337" t="n">
        <f aca="false">'5a-OpExYear1'!H11</f>
        <v>0</v>
      </c>
      <c r="I28" s="337" t="n">
        <f aca="false">'5a-OpExYear1'!I11</f>
        <v>0</v>
      </c>
      <c r="J28" s="337" t="n">
        <f aca="false">'5a-OpExYear1'!J11</f>
        <v>0</v>
      </c>
      <c r="K28" s="337" t="n">
        <f aca="false">'5a-OpExYear1'!K11</f>
        <v>0</v>
      </c>
      <c r="L28" s="337" t="n">
        <f aca="false">'5a-OpExYear1'!L11</f>
        <v>0</v>
      </c>
      <c r="M28" s="337" t="n">
        <f aca="false">'5a-OpExYear1'!M11</f>
        <v>0</v>
      </c>
      <c r="N28" s="337" t="n">
        <f aca="false">'5a-OpExYear1'!N11</f>
        <v>0</v>
      </c>
      <c r="O28" s="140" t="n">
        <f aca="false">SUM(C28:N28)</f>
        <v>0</v>
      </c>
    </row>
    <row r="29" customFormat="false" ht="13.8" hidden="false" customHeight="false" outlineLevel="0" collapsed="false">
      <c r="A29" s="0"/>
      <c r="B29" s="342" t="str">
        <f aca="false">'5a-OpExYear1'!B12</f>
        <v>Commissions and Fees</v>
      </c>
      <c r="C29" s="337" t="n">
        <f aca="false">'5a-OpExYear1'!C12</f>
        <v>0</v>
      </c>
      <c r="D29" s="337" t="n">
        <f aca="false">'5a-OpExYear1'!D12</f>
        <v>0</v>
      </c>
      <c r="E29" s="337" t="n">
        <f aca="false">'5a-OpExYear1'!E12</f>
        <v>0</v>
      </c>
      <c r="F29" s="337" t="n">
        <f aca="false">'5a-OpExYear1'!F12</f>
        <v>0</v>
      </c>
      <c r="G29" s="337" t="n">
        <f aca="false">'5a-OpExYear1'!G12</f>
        <v>0</v>
      </c>
      <c r="H29" s="337" t="n">
        <f aca="false">'5a-OpExYear1'!H12</f>
        <v>0</v>
      </c>
      <c r="I29" s="337" t="n">
        <f aca="false">'5a-OpExYear1'!I12</f>
        <v>0</v>
      </c>
      <c r="J29" s="337" t="n">
        <f aca="false">'5a-OpExYear1'!J12</f>
        <v>0</v>
      </c>
      <c r="K29" s="337" t="n">
        <f aca="false">'5a-OpExYear1'!K12</f>
        <v>0</v>
      </c>
      <c r="L29" s="337" t="n">
        <f aca="false">'5a-OpExYear1'!L12</f>
        <v>0</v>
      </c>
      <c r="M29" s="337" t="n">
        <f aca="false">'5a-OpExYear1'!M12</f>
        <v>0</v>
      </c>
      <c r="N29" s="337" t="n">
        <f aca="false">'5a-OpExYear1'!N12</f>
        <v>0</v>
      </c>
      <c r="O29" s="140" t="n">
        <f aca="false">SUM(C29:N29)</f>
        <v>0</v>
      </c>
    </row>
    <row r="30" customFormat="false" ht="13.8" hidden="false" customHeight="false" outlineLevel="0" collapsed="false">
      <c r="A30" s="0"/>
      <c r="B30" s="342" t="str">
        <f aca="false">'5a-OpExYear1'!B13</f>
        <v>Contract Labor (Not included in payroll)</v>
      </c>
      <c r="C30" s="337" t="n">
        <f aca="false">'5a-OpExYear1'!C13</f>
        <v>0</v>
      </c>
      <c r="D30" s="337" t="n">
        <f aca="false">'5a-OpExYear1'!D13</f>
        <v>0</v>
      </c>
      <c r="E30" s="337" t="n">
        <f aca="false">'5a-OpExYear1'!E13</f>
        <v>0</v>
      </c>
      <c r="F30" s="337" t="n">
        <f aca="false">'5a-OpExYear1'!F13</f>
        <v>0</v>
      </c>
      <c r="G30" s="337" t="n">
        <f aca="false">'5a-OpExYear1'!G13</f>
        <v>0</v>
      </c>
      <c r="H30" s="337" t="n">
        <f aca="false">'5a-OpExYear1'!H13</f>
        <v>0</v>
      </c>
      <c r="I30" s="337" t="n">
        <f aca="false">'5a-OpExYear1'!I13</f>
        <v>0</v>
      </c>
      <c r="J30" s="337" t="n">
        <f aca="false">'5a-OpExYear1'!J13</f>
        <v>0</v>
      </c>
      <c r="K30" s="337" t="n">
        <f aca="false">'5a-OpExYear1'!K13</f>
        <v>0</v>
      </c>
      <c r="L30" s="337" t="n">
        <f aca="false">'5a-OpExYear1'!L13</f>
        <v>0</v>
      </c>
      <c r="M30" s="337" t="n">
        <f aca="false">'5a-OpExYear1'!M13</f>
        <v>0</v>
      </c>
      <c r="N30" s="337" t="n">
        <f aca="false">'5a-OpExYear1'!N13</f>
        <v>0</v>
      </c>
      <c r="O30" s="140" t="n">
        <f aca="false">SUM(C30:N30)</f>
        <v>0</v>
      </c>
    </row>
    <row r="31" customFormat="false" ht="13.8" hidden="false" customHeight="false" outlineLevel="0" collapsed="false">
      <c r="A31" s="0"/>
      <c r="B31" s="342" t="str">
        <f aca="false">'5a-OpExYear1'!B14</f>
        <v>Insurance (other than health)</v>
      </c>
      <c r="C31" s="337" t="n">
        <f aca="false">'5a-OpExYear1'!C14</f>
        <v>0</v>
      </c>
      <c r="D31" s="337" t="n">
        <f aca="false">'5a-OpExYear1'!D14</f>
        <v>0</v>
      </c>
      <c r="E31" s="337" t="n">
        <f aca="false">'5a-OpExYear1'!E14</f>
        <v>0</v>
      </c>
      <c r="F31" s="337" t="n">
        <f aca="false">'5a-OpExYear1'!F14</f>
        <v>0</v>
      </c>
      <c r="G31" s="337" t="n">
        <f aca="false">'5a-OpExYear1'!G14</f>
        <v>0</v>
      </c>
      <c r="H31" s="337" t="n">
        <f aca="false">'5a-OpExYear1'!H14</f>
        <v>0</v>
      </c>
      <c r="I31" s="337" t="n">
        <f aca="false">'5a-OpExYear1'!I14</f>
        <v>0</v>
      </c>
      <c r="J31" s="337" t="n">
        <f aca="false">'5a-OpExYear1'!J14</f>
        <v>0</v>
      </c>
      <c r="K31" s="337" t="n">
        <f aca="false">'5a-OpExYear1'!K14</f>
        <v>0</v>
      </c>
      <c r="L31" s="337" t="n">
        <f aca="false">'5a-OpExYear1'!L14</f>
        <v>0</v>
      </c>
      <c r="M31" s="337" t="n">
        <f aca="false">'5a-OpExYear1'!M14</f>
        <v>0</v>
      </c>
      <c r="N31" s="337" t="n">
        <f aca="false">'5a-OpExYear1'!N14</f>
        <v>0</v>
      </c>
      <c r="O31" s="140" t="n">
        <f aca="false">SUM(C31:N31)</f>
        <v>0</v>
      </c>
    </row>
    <row r="32" customFormat="false" ht="13.8" hidden="false" customHeight="false" outlineLevel="0" collapsed="false">
      <c r="A32" s="0"/>
      <c r="B32" s="342" t="str">
        <f aca="false">'5a-OpExYear1'!B15</f>
        <v>Legal and Professional Services</v>
      </c>
      <c r="C32" s="337" t="n">
        <f aca="false">'5a-OpExYear1'!C15</f>
        <v>0</v>
      </c>
      <c r="D32" s="337" t="n">
        <f aca="false">'5a-OpExYear1'!D15</f>
        <v>0</v>
      </c>
      <c r="E32" s="337" t="n">
        <f aca="false">'5a-OpExYear1'!E15</f>
        <v>0</v>
      </c>
      <c r="F32" s="337" t="n">
        <f aca="false">'5a-OpExYear1'!F15</f>
        <v>0</v>
      </c>
      <c r="G32" s="337" t="n">
        <f aca="false">'5a-OpExYear1'!G15</f>
        <v>0</v>
      </c>
      <c r="H32" s="337" t="n">
        <f aca="false">'5a-OpExYear1'!H15</f>
        <v>0</v>
      </c>
      <c r="I32" s="337" t="n">
        <f aca="false">'5a-OpExYear1'!I15</f>
        <v>0</v>
      </c>
      <c r="J32" s="337" t="n">
        <f aca="false">'5a-OpExYear1'!J15</f>
        <v>0</v>
      </c>
      <c r="K32" s="337" t="n">
        <f aca="false">'5a-OpExYear1'!K15</f>
        <v>0</v>
      </c>
      <c r="L32" s="337" t="n">
        <f aca="false">'5a-OpExYear1'!L15</f>
        <v>0</v>
      </c>
      <c r="M32" s="337" t="n">
        <f aca="false">'5a-OpExYear1'!M15</f>
        <v>0</v>
      </c>
      <c r="N32" s="337" t="n">
        <f aca="false">'5a-OpExYear1'!N15</f>
        <v>0</v>
      </c>
      <c r="O32" s="140" t="n">
        <f aca="false">SUM(C32:N32)</f>
        <v>0</v>
      </c>
    </row>
    <row r="33" customFormat="false" ht="13.8" hidden="false" customHeight="false" outlineLevel="0" collapsed="false">
      <c r="A33" s="0"/>
      <c r="B33" s="342" t="str">
        <f aca="false">'5a-OpExYear1'!B16</f>
        <v>Licenses</v>
      </c>
      <c r="C33" s="337" t="n">
        <f aca="false">'5a-OpExYear1'!C16</f>
        <v>0</v>
      </c>
      <c r="D33" s="337" t="n">
        <f aca="false">'5a-OpExYear1'!D16</f>
        <v>0</v>
      </c>
      <c r="E33" s="337" t="n">
        <f aca="false">'5a-OpExYear1'!E16</f>
        <v>0</v>
      </c>
      <c r="F33" s="337" t="n">
        <f aca="false">'5a-OpExYear1'!F16</f>
        <v>0</v>
      </c>
      <c r="G33" s="337" t="n">
        <f aca="false">'5a-OpExYear1'!G16</f>
        <v>0</v>
      </c>
      <c r="H33" s="337" t="n">
        <f aca="false">'5a-OpExYear1'!H16</f>
        <v>0</v>
      </c>
      <c r="I33" s="337" t="n">
        <f aca="false">'5a-OpExYear1'!I16</f>
        <v>0</v>
      </c>
      <c r="J33" s="337" t="n">
        <f aca="false">'5a-OpExYear1'!J16</f>
        <v>0</v>
      </c>
      <c r="K33" s="337" t="n">
        <f aca="false">'5a-OpExYear1'!K16</f>
        <v>0</v>
      </c>
      <c r="L33" s="337" t="n">
        <f aca="false">'5a-OpExYear1'!L16</f>
        <v>0</v>
      </c>
      <c r="M33" s="337" t="n">
        <f aca="false">'5a-OpExYear1'!M16</f>
        <v>0</v>
      </c>
      <c r="N33" s="337" t="n">
        <f aca="false">'5a-OpExYear1'!N16</f>
        <v>0</v>
      </c>
      <c r="O33" s="140" t="n">
        <f aca="false">SUM(C33:N33)</f>
        <v>0</v>
      </c>
    </row>
    <row r="34" customFormat="false" ht="13.8" hidden="false" customHeight="false" outlineLevel="0" collapsed="false">
      <c r="A34" s="0"/>
      <c r="B34" s="342" t="str">
        <f aca="false">'5a-OpExYear1'!B17</f>
        <v>Office Expense</v>
      </c>
      <c r="C34" s="337" t="n">
        <f aca="false">'5a-OpExYear1'!C17</f>
        <v>0</v>
      </c>
      <c r="D34" s="337" t="n">
        <f aca="false">'5a-OpExYear1'!D17</f>
        <v>0</v>
      </c>
      <c r="E34" s="337" t="n">
        <f aca="false">'5a-OpExYear1'!E17</f>
        <v>0</v>
      </c>
      <c r="F34" s="337" t="n">
        <f aca="false">'5a-OpExYear1'!F17</f>
        <v>0</v>
      </c>
      <c r="G34" s="337" t="n">
        <f aca="false">'5a-OpExYear1'!G17</f>
        <v>0</v>
      </c>
      <c r="H34" s="337" t="n">
        <f aca="false">'5a-OpExYear1'!H17</f>
        <v>0</v>
      </c>
      <c r="I34" s="337" t="n">
        <f aca="false">'5a-OpExYear1'!I17</f>
        <v>0</v>
      </c>
      <c r="J34" s="337" t="n">
        <f aca="false">'5a-OpExYear1'!J17</f>
        <v>0</v>
      </c>
      <c r="K34" s="337" t="n">
        <f aca="false">'5a-OpExYear1'!K17</f>
        <v>0</v>
      </c>
      <c r="L34" s="337" t="n">
        <f aca="false">'5a-OpExYear1'!L17</f>
        <v>0</v>
      </c>
      <c r="M34" s="337" t="n">
        <f aca="false">'5a-OpExYear1'!M17</f>
        <v>0</v>
      </c>
      <c r="N34" s="337" t="n">
        <f aca="false">'5a-OpExYear1'!N17</f>
        <v>0</v>
      </c>
      <c r="O34" s="140" t="n">
        <f aca="false">SUM(C34:N34)</f>
        <v>0</v>
      </c>
    </row>
    <row r="35" customFormat="false" ht="13.8" hidden="false" customHeight="false" outlineLevel="0" collapsed="false">
      <c r="A35" s="0"/>
      <c r="B35" s="342" t="str">
        <f aca="false">'5a-OpExYear1'!B18</f>
        <v>Rent or Lease -- Vehicles, Machinery, Equipment</v>
      </c>
      <c r="C35" s="337" t="n">
        <f aca="false">'5a-OpExYear1'!C18</f>
        <v>0</v>
      </c>
      <c r="D35" s="337" t="n">
        <f aca="false">'5a-OpExYear1'!D18</f>
        <v>0</v>
      </c>
      <c r="E35" s="337" t="n">
        <f aca="false">'5a-OpExYear1'!E18</f>
        <v>0</v>
      </c>
      <c r="F35" s="337" t="n">
        <f aca="false">'5a-OpExYear1'!F18</f>
        <v>0</v>
      </c>
      <c r="G35" s="337" t="n">
        <f aca="false">'5a-OpExYear1'!G18</f>
        <v>0</v>
      </c>
      <c r="H35" s="337" t="n">
        <f aca="false">'5a-OpExYear1'!H18</f>
        <v>0</v>
      </c>
      <c r="I35" s="337" t="n">
        <f aca="false">'5a-OpExYear1'!I18</f>
        <v>0</v>
      </c>
      <c r="J35" s="337" t="n">
        <f aca="false">'5a-OpExYear1'!J18</f>
        <v>0</v>
      </c>
      <c r="K35" s="337" t="n">
        <f aca="false">'5a-OpExYear1'!K18</f>
        <v>0</v>
      </c>
      <c r="L35" s="337" t="n">
        <f aca="false">'5a-OpExYear1'!L18</f>
        <v>0</v>
      </c>
      <c r="M35" s="337" t="n">
        <f aca="false">'5a-OpExYear1'!M18</f>
        <v>0</v>
      </c>
      <c r="N35" s="337" t="n">
        <f aca="false">'5a-OpExYear1'!N18</f>
        <v>0</v>
      </c>
      <c r="O35" s="140" t="n">
        <f aca="false">SUM(C35:N35)</f>
        <v>0</v>
      </c>
    </row>
    <row r="36" customFormat="false" ht="13.8" hidden="false" customHeight="false" outlineLevel="0" collapsed="false">
      <c r="A36" s="0"/>
      <c r="B36" s="342" t="str">
        <f aca="false">'5a-OpExYear1'!B19</f>
        <v>Rent or Lease -- Other Business Property</v>
      </c>
      <c r="C36" s="337" t="n">
        <f aca="false">'5a-OpExYear1'!C19</f>
        <v>0</v>
      </c>
      <c r="D36" s="337" t="n">
        <f aca="false">'5a-OpExYear1'!D19</f>
        <v>0</v>
      </c>
      <c r="E36" s="337" t="n">
        <f aca="false">'5a-OpExYear1'!E19</f>
        <v>0</v>
      </c>
      <c r="F36" s="337" t="n">
        <f aca="false">'5a-OpExYear1'!F19</f>
        <v>0</v>
      </c>
      <c r="G36" s="337" t="n">
        <f aca="false">'5a-OpExYear1'!G19</f>
        <v>0</v>
      </c>
      <c r="H36" s="337" t="n">
        <f aca="false">'5a-OpExYear1'!H19</f>
        <v>0</v>
      </c>
      <c r="I36" s="337" t="n">
        <f aca="false">'5a-OpExYear1'!I19</f>
        <v>0</v>
      </c>
      <c r="J36" s="337" t="n">
        <f aca="false">'5a-OpExYear1'!J19</f>
        <v>0</v>
      </c>
      <c r="K36" s="337" t="n">
        <f aca="false">'5a-OpExYear1'!K19</f>
        <v>0</v>
      </c>
      <c r="L36" s="337" t="n">
        <f aca="false">'5a-OpExYear1'!L19</f>
        <v>0</v>
      </c>
      <c r="M36" s="337" t="n">
        <f aca="false">'5a-OpExYear1'!M19</f>
        <v>0</v>
      </c>
      <c r="N36" s="337" t="n">
        <f aca="false">'5a-OpExYear1'!N19</f>
        <v>0</v>
      </c>
      <c r="O36" s="140" t="n">
        <f aca="false">SUM(C36:N36)</f>
        <v>0</v>
      </c>
    </row>
    <row r="37" customFormat="false" ht="13.8" hidden="false" customHeight="false" outlineLevel="0" collapsed="false">
      <c r="A37" s="0"/>
      <c r="B37" s="342" t="str">
        <f aca="false">'5a-OpExYear1'!B20</f>
        <v>Repairs and Maintenance</v>
      </c>
      <c r="C37" s="337" t="n">
        <f aca="false">'5a-OpExYear1'!C20</f>
        <v>0</v>
      </c>
      <c r="D37" s="337" t="n">
        <f aca="false">'5a-OpExYear1'!D20</f>
        <v>0</v>
      </c>
      <c r="E37" s="337" t="n">
        <f aca="false">'5a-OpExYear1'!E20</f>
        <v>0</v>
      </c>
      <c r="F37" s="337" t="n">
        <f aca="false">'5a-OpExYear1'!F20</f>
        <v>0</v>
      </c>
      <c r="G37" s="337" t="n">
        <f aca="false">'5a-OpExYear1'!G20</f>
        <v>0</v>
      </c>
      <c r="H37" s="337" t="n">
        <f aca="false">'5a-OpExYear1'!H20</f>
        <v>0</v>
      </c>
      <c r="I37" s="337" t="n">
        <f aca="false">'5a-OpExYear1'!I20</f>
        <v>0</v>
      </c>
      <c r="J37" s="337" t="n">
        <f aca="false">'5a-OpExYear1'!J20</f>
        <v>0</v>
      </c>
      <c r="K37" s="337" t="n">
        <f aca="false">'5a-OpExYear1'!K20</f>
        <v>0</v>
      </c>
      <c r="L37" s="337" t="n">
        <f aca="false">'5a-OpExYear1'!L20</f>
        <v>0</v>
      </c>
      <c r="M37" s="337" t="n">
        <f aca="false">'5a-OpExYear1'!M20</f>
        <v>0</v>
      </c>
      <c r="N37" s="337" t="n">
        <f aca="false">'5a-OpExYear1'!N20</f>
        <v>0</v>
      </c>
      <c r="O37" s="140" t="n">
        <f aca="false">SUM(C37:N37)</f>
        <v>0</v>
      </c>
    </row>
    <row r="38" customFormat="false" ht="13.8" hidden="false" customHeight="false" outlineLevel="0" collapsed="false">
      <c r="A38" s="0"/>
      <c r="B38" s="342" t="str">
        <f aca="false">'5a-OpExYear1'!B21</f>
        <v>Supplies</v>
      </c>
      <c r="C38" s="337" t="n">
        <f aca="false">'5a-OpExYear1'!C21</f>
        <v>0</v>
      </c>
      <c r="D38" s="337" t="n">
        <f aca="false">'5a-OpExYear1'!D21</f>
        <v>0</v>
      </c>
      <c r="E38" s="337" t="n">
        <f aca="false">'5a-OpExYear1'!E21</f>
        <v>0</v>
      </c>
      <c r="F38" s="337" t="n">
        <f aca="false">'5a-OpExYear1'!F21</f>
        <v>0</v>
      </c>
      <c r="G38" s="337" t="n">
        <f aca="false">'5a-OpExYear1'!G21</f>
        <v>0</v>
      </c>
      <c r="H38" s="337" t="n">
        <f aca="false">'5a-OpExYear1'!H21</f>
        <v>0</v>
      </c>
      <c r="I38" s="337" t="n">
        <f aca="false">'5a-OpExYear1'!I21</f>
        <v>0</v>
      </c>
      <c r="J38" s="337" t="n">
        <f aca="false">'5a-OpExYear1'!J21</f>
        <v>0</v>
      </c>
      <c r="K38" s="337" t="n">
        <f aca="false">'5a-OpExYear1'!K21</f>
        <v>0</v>
      </c>
      <c r="L38" s="337" t="n">
        <f aca="false">'5a-OpExYear1'!L21</f>
        <v>0</v>
      </c>
      <c r="M38" s="337" t="n">
        <f aca="false">'5a-OpExYear1'!M21</f>
        <v>0</v>
      </c>
      <c r="N38" s="337" t="n">
        <f aca="false">'5a-OpExYear1'!N21</f>
        <v>0</v>
      </c>
      <c r="O38" s="140" t="n">
        <f aca="false">SUM(C38:N38)</f>
        <v>0</v>
      </c>
    </row>
    <row r="39" customFormat="false" ht="13.8" hidden="false" customHeight="false" outlineLevel="0" collapsed="false">
      <c r="A39" s="0"/>
      <c r="B39" s="342" t="str">
        <f aca="false">'5a-OpExYear1'!B22</f>
        <v>Travel, Meals and Entertainment</v>
      </c>
      <c r="C39" s="337" t="n">
        <f aca="false">'5a-OpExYear1'!C22</f>
        <v>0</v>
      </c>
      <c r="D39" s="337" t="n">
        <f aca="false">'5a-OpExYear1'!D22</f>
        <v>0</v>
      </c>
      <c r="E39" s="337" t="n">
        <f aca="false">'5a-OpExYear1'!E22</f>
        <v>0</v>
      </c>
      <c r="F39" s="337" t="n">
        <f aca="false">'5a-OpExYear1'!F22</f>
        <v>0</v>
      </c>
      <c r="G39" s="337" t="n">
        <f aca="false">'5a-OpExYear1'!G22</f>
        <v>0</v>
      </c>
      <c r="H39" s="337" t="n">
        <f aca="false">'5a-OpExYear1'!H22</f>
        <v>0</v>
      </c>
      <c r="I39" s="337" t="n">
        <f aca="false">'5a-OpExYear1'!I22</f>
        <v>0</v>
      </c>
      <c r="J39" s="337" t="n">
        <f aca="false">'5a-OpExYear1'!J22</f>
        <v>0</v>
      </c>
      <c r="K39" s="337" t="n">
        <f aca="false">'5a-OpExYear1'!K22</f>
        <v>0</v>
      </c>
      <c r="L39" s="337" t="n">
        <f aca="false">'5a-OpExYear1'!L22</f>
        <v>0</v>
      </c>
      <c r="M39" s="337" t="n">
        <f aca="false">'5a-OpExYear1'!M22</f>
        <v>0</v>
      </c>
      <c r="N39" s="337" t="n">
        <f aca="false">'5a-OpExYear1'!N22</f>
        <v>0</v>
      </c>
      <c r="O39" s="140" t="n">
        <f aca="false">SUM(C39:N39)</f>
        <v>0</v>
      </c>
    </row>
    <row r="40" customFormat="false" ht="13.8" hidden="false" customHeight="false" outlineLevel="0" collapsed="false">
      <c r="A40" s="0"/>
      <c r="B40" s="342" t="str">
        <f aca="false">'5a-OpExYear1'!B23</f>
        <v>Utilities</v>
      </c>
      <c r="C40" s="337" t="n">
        <f aca="false">'5a-OpExYear1'!C23</f>
        <v>0</v>
      </c>
      <c r="D40" s="337" t="n">
        <f aca="false">'5a-OpExYear1'!D23</f>
        <v>0</v>
      </c>
      <c r="E40" s="337" t="n">
        <f aca="false">'5a-OpExYear1'!E23</f>
        <v>0</v>
      </c>
      <c r="F40" s="337" t="n">
        <f aca="false">'5a-OpExYear1'!F23</f>
        <v>0</v>
      </c>
      <c r="G40" s="337" t="n">
        <f aca="false">'5a-OpExYear1'!G23</f>
        <v>0</v>
      </c>
      <c r="H40" s="337" t="n">
        <f aca="false">'5a-OpExYear1'!H23</f>
        <v>0</v>
      </c>
      <c r="I40" s="337" t="n">
        <f aca="false">'5a-OpExYear1'!I23</f>
        <v>0</v>
      </c>
      <c r="J40" s="337" t="n">
        <f aca="false">'5a-OpExYear1'!J23</f>
        <v>0</v>
      </c>
      <c r="K40" s="337" t="n">
        <f aca="false">'5a-OpExYear1'!K23</f>
        <v>0</v>
      </c>
      <c r="L40" s="337" t="n">
        <f aca="false">'5a-OpExYear1'!L23</f>
        <v>0</v>
      </c>
      <c r="M40" s="337" t="n">
        <f aca="false">'5a-OpExYear1'!M23</f>
        <v>0</v>
      </c>
      <c r="N40" s="337" t="n">
        <f aca="false">'5a-OpExYear1'!N23</f>
        <v>0</v>
      </c>
      <c r="O40" s="140" t="n">
        <f aca="false">SUM(C40:N40)</f>
        <v>0</v>
      </c>
    </row>
    <row r="41" customFormat="false" ht="13.8" hidden="false" customHeight="false" outlineLevel="0" collapsed="false">
      <c r="A41" s="0"/>
      <c r="B41" s="342" t="str">
        <f aca="false">'5a-OpExYear1'!B24</f>
        <v>Miscellaneous </v>
      </c>
      <c r="C41" s="337" t="n">
        <f aca="false">'5a-OpExYear1'!C24</f>
        <v>0</v>
      </c>
      <c r="D41" s="337" t="n">
        <f aca="false">'5a-OpExYear1'!D24</f>
        <v>0</v>
      </c>
      <c r="E41" s="337" t="n">
        <f aca="false">'5a-OpExYear1'!E24</f>
        <v>0</v>
      </c>
      <c r="F41" s="337" t="n">
        <f aca="false">'5a-OpExYear1'!F24</f>
        <v>0</v>
      </c>
      <c r="G41" s="337" t="n">
        <f aca="false">'5a-OpExYear1'!G24</f>
        <v>0</v>
      </c>
      <c r="H41" s="337" t="n">
        <f aca="false">'5a-OpExYear1'!H24</f>
        <v>0</v>
      </c>
      <c r="I41" s="337" t="n">
        <f aca="false">'5a-OpExYear1'!I24</f>
        <v>0</v>
      </c>
      <c r="J41" s="337" t="n">
        <f aca="false">'5a-OpExYear1'!J24</f>
        <v>0</v>
      </c>
      <c r="K41" s="337" t="n">
        <f aca="false">'5a-OpExYear1'!K24</f>
        <v>0</v>
      </c>
      <c r="L41" s="337" t="n">
        <f aca="false">'5a-OpExYear1'!L24</f>
        <v>0</v>
      </c>
      <c r="M41" s="337" t="n">
        <f aca="false">'5a-OpExYear1'!M24</f>
        <v>0</v>
      </c>
      <c r="N41" s="337" t="n">
        <f aca="false">'5a-OpExYear1'!N24</f>
        <v>0</v>
      </c>
      <c r="O41" s="140" t="n">
        <f aca="false">SUM(C41:N41)</f>
        <v>0</v>
      </c>
    </row>
    <row r="42" customFormat="false" ht="13.8" hidden="false" customHeight="false" outlineLevel="0" collapsed="false">
      <c r="A42" s="0"/>
      <c r="B42" s="343" t="s">
        <v>200</v>
      </c>
      <c r="C42" s="337"/>
      <c r="D42" s="337"/>
      <c r="E42" s="337"/>
      <c r="F42" s="337"/>
      <c r="G42" s="337"/>
      <c r="H42" s="337"/>
      <c r="I42" s="337"/>
      <c r="J42" s="337"/>
      <c r="K42" s="337"/>
      <c r="L42" s="337"/>
      <c r="M42" s="337"/>
      <c r="N42" s="337"/>
      <c r="O42" s="140"/>
    </row>
    <row r="43" customFormat="false" ht="13.8" hidden="false" customHeight="false" outlineLevel="0" collapsed="false">
      <c r="A43" s="0"/>
      <c r="B43" s="343" t="s">
        <v>201</v>
      </c>
      <c r="C43" s="337"/>
      <c r="D43" s="337"/>
      <c r="E43" s="337"/>
      <c r="F43" s="337"/>
      <c r="G43" s="337"/>
      <c r="H43" s="337"/>
      <c r="I43" s="337"/>
      <c r="J43" s="337"/>
      <c r="K43" s="337"/>
      <c r="L43" s="337"/>
      <c r="M43" s="337"/>
      <c r="N43" s="337"/>
      <c r="O43" s="140"/>
    </row>
    <row r="44" customFormat="false" ht="13.8" hidden="false" customHeight="false" outlineLevel="0" collapsed="false">
      <c r="A44" s="0"/>
      <c r="B44" s="344" t="s">
        <v>167</v>
      </c>
      <c r="C44" s="340" t="n">
        <f aca="false">SUM(C27:C43)</f>
        <v>0</v>
      </c>
      <c r="D44" s="340" t="n">
        <f aca="false">SUM(D27:D43)</f>
        <v>0</v>
      </c>
      <c r="E44" s="340" t="n">
        <f aca="false">SUM(E27:E43)</f>
        <v>0</v>
      </c>
      <c r="F44" s="340" t="n">
        <f aca="false">SUM(F27:F43)</f>
        <v>0</v>
      </c>
      <c r="G44" s="340" t="n">
        <f aca="false">SUM(G27:G43)</f>
        <v>0</v>
      </c>
      <c r="H44" s="340" t="n">
        <f aca="false">SUM(H27:H43)</f>
        <v>0</v>
      </c>
      <c r="I44" s="340" t="n">
        <f aca="false">SUM(I27:I43)</f>
        <v>0</v>
      </c>
      <c r="J44" s="340" t="n">
        <f aca="false">SUM(J27:J43)</f>
        <v>0</v>
      </c>
      <c r="K44" s="340" t="n">
        <f aca="false">SUM(K27:K43)</f>
        <v>0</v>
      </c>
      <c r="L44" s="340" t="n">
        <f aca="false">SUM(L27:L43)</f>
        <v>0</v>
      </c>
      <c r="M44" s="340" t="n">
        <f aca="false">SUM(M27:M43)</f>
        <v>0</v>
      </c>
      <c r="N44" s="340" t="n">
        <f aca="false">SUM(N27:N43)</f>
        <v>0</v>
      </c>
      <c r="O44" s="140" t="n">
        <f aca="false">SUM(C44:N44)</f>
        <v>0</v>
      </c>
    </row>
    <row r="45" customFormat="false" ht="13.8" hidden="false" customHeight="false" outlineLevel="0" collapsed="false">
      <c r="A45" s="0"/>
      <c r="B45" s="344" t="s">
        <v>202</v>
      </c>
      <c r="C45" s="340" t="n">
        <f aca="false">C24-C25-C44</f>
        <v>0</v>
      </c>
      <c r="D45" s="340" t="n">
        <f aca="false">+D24-D25-D44</f>
        <v>0</v>
      </c>
      <c r="E45" s="340" t="n">
        <f aca="false">+E24-E25-E44</f>
        <v>0</v>
      </c>
      <c r="F45" s="340" t="n">
        <f aca="false">+F24-F25-F44</f>
        <v>0</v>
      </c>
      <c r="G45" s="340" t="n">
        <f aca="false">+G24-G25-G44</f>
        <v>0</v>
      </c>
      <c r="H45" s="340" t="n">
        <f aca="false">+H24-H25-H44</f>
        <v>0</v>
      </c>
      <c r="I45" s="340" t="n">
        <f aca="false">+I24-I25-I44</f>
        <v>0</v>
      </c>
      <c r="J45" s="340" t="n">
        <f aca="false">+J24-J25-J44</f>
        <v>0</v>
      </c>
      <c r="K45" s="340" t="n">
        <f aca="false">+K24-K25-K44</f>
        <v>0</v>
      </c>
      <c r="L45" s="340" t="n">
        <f aca="false">+L24-L25-L44</f>
        <v>0</v>
      </c>
      <c r="M45" s="340" t="n">
        <f aca="false">+M24-M25-M44</f>
        <v>0</v>
      </c>
      <c r="N45" s="340" t="n">
        <f aca="false">+N24-N25-N44</f>
        <v>0</v>
      </c>
      <c r="O45" s="140" t="n">
        <f aca="false">SUM(C45:N45)</f>
        <v>0</v>
      </c>
    </row>
    <row r="46" customFormat="false" ht="13.8" hidden="false" customHeight="false" outlineLevel="0" collapsed="false">
      <c r="A46" s="0"/>
      <c r="B46" s="345" t="s">
        <v>158</v>
      </c>
      <c r="C46" s="113"/>
      <c r="D46" s="113"/>
      <c r="E46" s="113"/>
      <c r="F46" s="113"/>
      <c r="G46" s="113"/>
      <c r="H46" s="113"/>
      <c r="I46" s="113"/>
      <c r="J46" s="113"/>
      <c r="K46" s="113"/>
      <c r="L46" s="113"/>
      <c r="M46" s="113"/>
      <c r="N46" s="113"/>
      <c r="O46" s="140"/>
    </row>
    <row r="47" customFormat="false" ht="13.8" hidden="false" customHeight="false" outlineLevel="0" collapsed="false">
      <c r="A47" s="0"/>
      <c r="B47" s="346" t="s">
        <v>203</v>
      </c>
      <c r="C47" s="337" t="n">
        <f aca="false">+'Amortization&amp;Depreciation'!C138+'Amortization&amp;Depreciation'!C149</f>
        <v>0</v>
      </c>
      <c r="D47" s="337" t="n">
        <f aca="false">+'Amortization&amp;Depreciation'!D138+'Amortization&amp;Depreciation'!D149</f>
        <v>0</v>
      </c>
      <c r="E47" s="337" t="n">
        <f aca="false">+'Amortization&amp;Depreciation'!E138+'Amortization&amp;Depreciation'!E149</f>
        <v>0</v>
      </c>
      <c r="F47" s="337" t="n">
        <f aca="false">+'Amortization&amp;Depreciation'!F138+'Amortization&amp;Depreciation'!F149</f>
        <v>0</v>
      </c>
      <c r="G47" s="337" t="n">
        <f aca="false">+'Amortization&amp;Depreciation'!G138+'Amortization&amp;Depreciation'!G149</f>
        <v>0</v>
      </c>
      <c r="H47" s="337" t="n">
        <f aca="false">+'Amortization&amp;Depreciation'!H138+'Amortization&amp;Depreciation'!H149</f>
        <v>0</v>
      </c>
      <c r="I47" s="337" t="n">
        <f aca="false">+'Amortization&amp;Depreciation'!I138+'Amortization&amp;Depreciation'!I149</f>
        <v>0</v>
      </c>
      <c r="J47" s="337" t="n">
        <f aca="false">+'Amortization&amp;Depreciation'!J138+'Amortization&amp;Depreciation'!J149</f>
        <v>0</v>
      </c>
      <c r="K47" s="337" t="n">
        <f aca="false">+'Amortization&amp;Depreciation'!K138+'Amortization&amp;Depreciation'!K149</f>
        <v>0</v>
      </c>
      <c r="L47" s="337" t="n">
        <f aca="false">+'Amortization&amp;Depreciation'!L138+'Amortization&amp;Depreciation'!L149</f>
        <v>0</v>
      </c>
      <c r="M47" s="337" t="n">
        <f aca="false">+'Amortization&amp;Depreciation'!M138+'Amortization&amp;Depreciation'!M149</f>
        <v>0</v>
      </c>
      <c r="N47" s="337" t="n">
        <f aca="false">+'Amortization&amp;Depreciation'!N138+'Amortization&amp;Depreciation'!N149</f>
        <v>0</v>
      </c>
      <c r="O47" s="140" t="n">
        <f aca="false">SUM(C47:N47)</f>
        <v>0</v>
      </c>
    </row>
    <row r="48" customFormat="false" ht="13.8" hidden="false" customHeight="false" outlineLevel="0" collapsed="false">
      <c r="A48" s="0"/>
      <c r="B48" s="346" t="s">
        <v>204</v>
      </c>
      <c r="C48" s="337" t="n">
        <f aca="false">'Amortization&amp;Depreciation'!C119</f>
        <v>0</v>
      </c>
      <c r="D48" s="337" t="n">
        <f aca="false">+'Amortization&amp;Depreciation'!D119</f>
        <v>0</v>
      </c>
      <c r="E48" s="337" t="n">
        <f aca="false">+'Amortization&amp;Depreciation'!E119</f>
        <v>0</v>
      </c>
      <c r="F48" s="337" t="n">
        <f aca="false">+'Amortization&amp;Depreciation'!F119</f>
        <v>0</v>
      </c>
      <c r="G48" s="337" t="n">
        <f aca="false">+'Amortization&amp;Depreciation'!G119</f>
        <v>0</v>
      </c>
      <c r="H48" s="337" t="n">
        <f aca="false">+'Amortization&amp;Depreciation'!H119</f>
        <v>0</v>
      </c>
      <c r="I48" s="337" t="n">
        <f aca="false">+'Amortization&amp;Depreciation'!I119</f>
        <v>0</v>
      </c>
      <c r="J48" s="337" t="n">
        <f aca="false">+'Amortization&amp;Depreciation'!J119</f>
        <v>0</v>
      </c>
      <c r="K48" s="337" t="n">
        <f aca="false">+'Amortization&amp;Depreciation'!K119</f>
        <v>0</v>
      </c>
      <c r="L48" s="337" t="n">
        <f aca="false">+'Amortization&amp;Depreciation'!L119</f>
        <v>0</v>
      </c>
      <c r="M48" s="337" t="n">
        <f aca="false">+'Amortization&amp;Depreciation'!M119</f>
        <v>0</v>
      </c>
      <c r="N48" s="337" t="n">
        <f aca="false">+'Amortization&amp;Depreciation'!N119</f>
        <v>0</v>
      </c>
      <c r="O48" s="140" t="n">
        <f aca="false">SUM(C48:N48)</f>
        <v>0</v>
      </c>
    </row>
    <row r="49" customFormat="false" ht="13.8" hidden="false" customHeight="false" outlineLevel="0" collapsed="false">
      <c r="A49" s="0"/>
      <c r="B49" s="346" t="s">
        <v>160</v>
      </c>
      <c r="C49" s="347"/>
      <c r="D49" s="347"/>
      <c r="E49" s="347"/>
      <c r="F49" s="347"/>
      <c r="G49" s="347"/>
      <c r="H49" s="347"/>
      <c r="I49" s="347"/>
      <c r="J49" s="347"/>
      <c r="K49" s="347"/>
      <c r="L49" s="347"/>
      <c r="M49" s="347"/>
      <c r="N49" s="347"/>
      <c r="O49" s="140"/>
    </row>
    <row r="50" customFormat="false" ht="13.8" hidden="false" customHeight="false" outlineLevel="0" collapsed="false">
      <c r="A50" s="0"/>
      <c r="B50" s="348" t="s">
        <v>46</v>
      </c>
      <c r="C50" s="337" t="n">
        <f aca="false">+'Amortization&amp;Depreciation'!C15</f>
        <v>0</v>
      </c>
      <c r="D50" s="337" t="n">
        <f aca="false">+'Amortization&amp;Depreciation'!D15</f>
        <v>0</v>
      </c>
      <c r="E50" s="337" t="n">
        <f aca="false">+'Amortization&amp;Depreciation'!E15</f>
        <v>0</v>
      </c>
      <c r="F50" s="337" t="n">
        <f aca="false">+'Amortization&amp;Depreciation'!F15</f>
        <v>0</v>
      </c>
      <c r="G50" s="337" t="n">
        <f aca="false">+'Amortization&amp;Depreciation'!G15</f>
        <v>0</v>
      </c>
      <c r="H50" s="337" t="n">
        <f aca="false">+'Amortization&amp;Depreciation'!H15</f>
        <v>0</v>
      </c>
      <c r="I50" s="337" t="n">
        <f aca="false">+'Amortization&amp;Depreciation'!I15</f>
        <v>0</v>
      </c>
      <c r="J50" s="337" t="n">
        <f aca="false">+'Amortization&amp;Depreciation'!J15</f>
        <v>0</v>
      </c>
      <c r="K50" s="337" t="n">
        <f aca="false">+'Amortization&amp;Depreciation'!K15</f>
        <v>0</v>
      </c>
      <c r="L50" s="337" t="n">
        <f aca="false">+'Amortization&amp;Depreciation'!L15</f>
        <v>0</v>
      </c>
      <c r="M50" s="337" t="n">
        <f aca="false">+'Amortization&amp;Depreciation'!M15</f>
        <v>0</v>
      </c>
      <c r="N50" s="337" t="n">
        <f aca="false">+'Amortization&amp;Depreciation'!N15</f>
        <v>0</v>
      </c>
      <c r="O50" s="140" t="n">
        <f aca="false">SUM(C50:N50)</f>
        <v>0</v>
      </c>
    </row>
    <row r="51" customFormat="false" ht="13.8" hidden="false" customHeight="false" outlineLevel="0" collapsed="false">
      <c r="A51" s="0"/>
      <c r="B51" s="348" t="s">
        <v>47</v>
      </c>
      <c r="C51" s="337" t="n">
        <f aca="false">+'Amortization&amp;Depreciation'!C35</f>
        <v>0</v>
      </c>
      <c r="D51" s="337" t="n">
        <f aca="false">+'Amortization&amp;Depreciation'!D35</f>
        <v>0</v>
      </c>
      <c r="E51" s="337" t="n">
        <f aca="false">+'Amortization&amp;Depreciation'!E35</f>
        <v>0</v>
      </c>
      <c r="F51" s="337" t="n">
        <f aca="false">+'Amortization&amp;Depreciation'!F35</f>
        <v>0</v>
      </c>
      <c r="G51" s="337" t="n">
        <f aca="false">+'Amortization&amp;Depreciation'!G35</f>
        <v>0</v>
      </c>
      <c r="H51" s="337" t="n">
        <f aca="false">+'Amortization&amp;Depreciation'!H35</f>
        <v>0</v>
      </c>
      <c r="I51" s="337" t="n">
        <f aca="false">+'Amortization&amp;Depreciation'!I35</f>
        <v>0</v>
      </c>
      <c r="J51" s="337" t="n">
        <f aca="false">+'Amortization&amp;Depreciation'!J35</f>
        <v>0</v>
      </c>
      <c r="K51" s="337" t="n">
        <f aca="false">+'Amortization&amp;Depreciation'!K35</f>
        <v>0</v>
      </c>
      <c r="L51" s="337" t="n">
        <f aca="false">+'Amortization&amp;Depreciation'!L35</f>
        <v>0</v>
      </c>
      <c r="M51" s="337" t="n">
        <f aca="false">+'Amortization&amp;Depreciation'!M35</f>
        <v>0</v>
      </c>
      <c r="N51" s="337" t="n">
        <f aca="false">+'Amortization&amp;Depreciation'!N35</f>
        <v>0</v>
      </c>
      <c r="O51" s="140" t="n">
        <f aca="false">SUM(C51:N51)</f>
        <v>0</v>
      </c>
    </row>
    <row r="52" customFormat="false" ht="13.8" hidden="false" customHeight="false" outlineLevel="0" collapsed="false">
      <c r="A52" s="0"/>
      <c r="B52" s="348" t="s">
        <v>49</v>
      </c>
      <c r="C52" s="337" t="n">
        <f aca="false">+'Amortization&amp;Depreciation'!C55</f>
        <v>0</v>
      </c>
      <c r="D52" s="337" t="n">
        <f aca="false">+'Amortization&amp;Depreciation'!D55</f>
        <v>0</v>
      </c>
      <c r="E52" s="337" t="n">
        <f aca="false">+'Amortization&amp;Depreciation'!E55</f>
        <v>0</v>
      </c>
      <c r="F52" s="337" t="n">
        <f aca="false">+'Amortization&amp;Depreciation'!F55</f>
        <v>0</v>
      </c>
      <c r="G52" s="337" t="n">
        <f aca="false">+'Amortization&amp;Depreciation'!G55</f>
        <v>0</v>
      </c>
      <c r="H52" s="337" t="n">
        <f aca="false">+'Amortization&amp;Depreciation'!H55</f>
        <v>0</v>
      </c>
      <c r="I52" s="337" t="n">
        <f aca="false">+'Amortization&amp;Depreciation'!I55</f>
        <v>0</v>
      </c>
      <c r="J52" s="337" t="n">
        <f aca="false">+'Amortization&amp;Depreciation'!J55</f>
        <v>0</v>
      </c>
      <c r="K52" s="337" t="n">
        <f aca="false">+'Amortization&amp;Depreciation'!K55</f>
        <v>0</v>
      </c>
      <c r="L52" s="337" t="n">
        <f aca="false">+'Amortization&amp;Depreciation'!L55</f>
        <v>0</v>
      </c>
      <c r="M52" s="337" t="n">
        <f aca="false">+'Amortization&amp;Depreciation'!M55</f>
        <v>0</v>
      </c>
      <c r="N52" s="337" t="n">
        <f aca="false">+'Amortization&amp;Depreciation'!N55</f>
        <v>0</v>
      </c>
      <c r="O52" s="140" t="n">
        <f aca="false">SUM(C52:N52)</f>
        <v>0</v>
      </c>
    </row>
    <row r="53" customFormat="false" ht="13.8" hidden="false" customHeight="false" outlineLevel="0" collapsed="false">
      <c r="A53" s="0"/>
      <c r="B53" s="348" t="s">
        <v>50</v>
      </c>
      <c r="C53" s="337" t="n">
        <f aca="false">+'Amortization&amp;Depreciation'!C75</f>
        <v>0</v>
      </c>
      <c r="D53" s="337" t="n">
        <f aca="false">+'Amortization&amp;Depreciation'!D75</f>
        <v>0</v>
      </c>
      <c r="E53" s="337" t="n">
        <f aca="false">+'Amortization&amp;Depreciation'!E75</f>
        <v>0</v>
      </c>
      <c r="F53" s="337" t="n">
        <f aca="false">+'Amortization&amp;Depreciation'!F75</f>
        <v>0</v>
      </c>
      <c r="G53" s="337" t="n">
        <f aca="false">+'Amortization&amp;Depreciation'!G75</f>
        <v>0</v>
      </c>
      <c r="H53" s="337" t="n">
        <f aca="false">+'Amortization&amp;Depreciation'!H75</f>
        <v>0</v>
      </c>
      <c r="I53" s="337" t="n">
        <f aca="false">+'Amortization&amp;Depreciation'!I75</f>
        <v>0</v>
      </c>
      <c r="J53" s="337" t="n">
        <f aca="false">+'Amortization&amp;Depreciation'!J75</f>
        <v>0</v>
      </c>
      <c r="K53" s="337" t="n">
        <f aca="false">+'Amortization&amp;Depreciation'!K75</f>
        <v>0</v>
      </c>
      <c r="L53" s="337" t="n">
        <f aca="false">+'Amortization&amp;Depreciation'!L75</f>
        <v>0</v>
      </c>
      <c r="M53" s="337" t="n">
        <f aca="false">+'Amortization&amp;Depreciation'!M75</f>
        <v>0</v>
      </c>
      <c r="N53" s="337" t="n">
        <f aca="false">+'Amortization&amp;Depreciation'!N75</f>
        <v>0</v>
      </c>
      <c r="O53" s="140" t="n">
        <f aca="false">SUM(C53:N53)</f>
        <v>0</v>
      </c>
    </row>
    <row r="54" customFormat="false" ht="13.8" hidden="false" customHeight="false" outlineLevel="0" collapsed="false">
      <c r="A54" s="0"/>
      <c r="B54" s="348" t="s">
        <v>51</v>
      </c>
      <c r="C54" s="337" t="n">
        <f aca="false">+'Amortization&amp;Depreciation'!C95</f>
        <v>0</v>
      </c>
      <c r="D54" s="337" t="n">
        <f aca="false">+'Amortization&amp;Depreciation'!D95</f>
        <v>0</v>
      </c>
      <c r="E54" s="337" t="n">
        <f aca="false">+'Amortization&amp;Depreciation'!E95</f>
        <v>0</v>
      </c>
      <c r="F54" s="337" t="n">
        <f aca="false">+'Amortization&amp;Depreciation'!F95</f>
        <v>0</v>
      </c>
      <c r="G54" s="337" t="n">
        <f aca="false">+'Amortization&amp;Depreciation'!G95</f>
        <v>0</v>
      </c>
      <c r="H54" s="337" t="n">
        <f aca="false">+'Amortization&amp;Depreciation'!H95</f>
        <v>0</v>
      </c>
      <c r="I54" s="337" t="n">
        <f aca="false">+'Amortization&amp;Depreciation'!I95</f>
        <v>0</v>
      </c>
      <c r="J54" s="337" t="n">
        <f aca="false">+'Amortization&amp;Depreciation'!J95</f>
        <v>0</v>
      </c>
      <c r="K54" s="337" t="n">
        <f aca="false">+'Amortization&amp;Depreciation'!K95</f>
        <v>0</v>
      </c>
      <c r="L54" s="337" t="n">
        <f aca="false">+'Amortization&amp;Depreciation'!L95</f>
        <v>0</v>
      </c>
      <c r="M54" s="337" t="n">
        <f aca="false">+'Amortization&amp;Depreciation'!M95</f>
        <v>0</v>
      </c>
      <c r="N54" s="337" t="n">
        <f aca="false">+'Amortization&amp;Depreciation'!N95</f>
        <v>0</v>
      </c>
      <c r="O54" s="140" t="n">
        <f aca="false">SUM(C54:N54)</f>
        <v>0</v>
      </c>
    </row>
    <row r="55" customFormat="false" ht="13.8" hidden="false" customHeight="false" outlineLevel="0" collapsed="false">
      <c r="A55" s="0"/>
      <c r="B55" s="348" t="s">
        <v>205</v>
      </c>
      <c r="C55" s="337" t="n">
        <f aca="false">'6a-CashFlowYear1'!C26</f>
        <v>0</v>
      </c>
      <c r="D55" s="337" t="n">
        <f aca="false">+'6a-CashFlowYear1'!D26</f>
        <v>0</v>
      </c>
      <c r="E55" s="337" t="n">
        <f aca="false">+'6a-CashFlowYear1'!E26</f>
        <v>0</v>
      </c>
      <c r="F55" s="337" t="n">
        <f aca="false">+'6a-CashFlowYear1'!F26</f>
        <v>0</v>
      </c>
      <c r="G55" s="337" t="n">
        <f aca="false">+'6a-CashFlowYear1'!G26</f>
        <v>0</v>
      </c>
      <c r="H55" s="337" t="n">
        <f aca="false">+'6a-CashFlowYear1'!H26</f>
        <v>0</v>
      </c>
      <c r="I55" s="337" t="n">
        <f aca="false">+'6a-CashFlowYear1'!I26</f>
        <v>0</v>
      </c>
      <c r="J55" s="337" t="n">
        <f aca="false">+'6a-CashFlowYear1'!J26</f>
        <v>0</v>
      </c>
      <c r="K55" s="337" t="n">
        <f aca="false">+'6a-CashFlowYear1'!K26</f>
        <v>0</v>
      </c>
      <c r="L55" s="337" t="n">
        <f aca="false">+'6a-CashFlowYear1'!L26</f>
        <v>0</v>
      </c>
      <c r="M55" s="337" t="n">
        <f aca="false">+'6a-CashFlowYear1'!M26</f>
        <v>0</v>
      </c>
      <c r="N55" s="337" t="n">
        <f aca="false">+'6a-CashFlowYear1'!N26</f>
        <v>0</v>
      </c>
      <c r="O55" s="140" t="n">
        <f aca="false">SUM(C55:N55)</f>
        <v>0</v>
      </c>
    </row>
    <row r="56" customFormat="false" ht="13.8" hidden="false" customHeight="false" outlineLevel="0" collapsed="false">
      <c r="A56" s="0"/>
      <c r="B56" s="346" t="s">
        <v>162</v>
      </c>
      <c r="C56" s="337" t="n">
        <f aca="false">+'3a-SalesForecastYear1'!C53*'4-AdditionalInputs'!$C$12</f>
        <v>0</v>
      </c>
      <c r="D56" s="337" t="n">
        <f aca="false">+'3a-SalesForecastYear1'!D53*'4-AdditionalInputs'!$C$12</f>
        <v>0</v>
      </c>
      <c r="E56" s="337" t="n">
        <f aca="false">+'3a-SalesForecastYear1'!E53*'4-AdditionalInputs'!$C$12</f>
        <v>0</v>
      </c>
      <c r="F56" s="337" t="n">
        <f aca="false">+'3a-SalesForecastYear1'!F53*'4-AdditionalInputs'!$C$12</f>
        <v>0</v>
      </c>
      <c r="G56" s="337" t="n">
        <f aca="false">+'3a-SalesForecastYear1'!G53*'4-AdditionalInputs'!$C$12</f>
        <v>0</v>
      </c>
      <c r="H56" s="337" t="n">
        <f aca="false">+'3a-SalesForecastYear1'!H53*'4-AdditionalInputs'!$C$12</f>
        <v>0</v>
      </c>
      <c r="I56" s="337" t="n">
        <f aca="false">+'3a-SalesForecastYear1'!I53*'4-AdditionalInputs'!$C$12</f>
        <v>0</v>
      </c>
      <c r="J56" s="337" t="n">
        <f aca="false">+'3a-SalesForecastYear1'!J53*'4-AdditionalInputs'!$C$12</f>
        <v>0</v>
      </c>
      <c r="K56" s="337" t="n">
        <f aca="false">+'3a-SalesForecastYear1'!K53*'4-AdditionalInputs'!$C$12</f>
        <v>0</v>
      </c>
      <c r="L56" s="337" t="n">
        <f aca="false">+'3a-SalesForecastYear1'!L53*'4-AdditionalInputs'!$C$12</f>
        <v>0</v>
      </c>
      <c r="M56" s="337" t="n">
        <f aca="false">+'3a-SalesForecastYear1'!M53*'4-AdditionalInputs'!$C$12</f>
        <v>0</v>
      </c>
      <c r="N56" s="337" t="n">
        <f aca="false">+'3a-SalesForecastYear1'!N53*'4-AdditionalInputs'!$C$12</f>
        <v>0</v>
      </c>
      <c r="O56" s="140" t="n">
        <f aca="false">SUM(C56:N56)</f>
        <v>0</v>
      </c>
    </row>
    <row r="57" customFormat="false" ht="13.8" hidden="false" customHeight="false" outlineLevel="0" collapsed="false">
      <c r="A57" s="0"/>
      <c r="B57" s="344" t="s">
        <v>163</v>
      </c>
      <c r="C57" s="337" t="n">
        <f aca="false">SUM(C47:C56)</f>
        <v>0</v>
      </c>
      <c r="D57" s="337" t="n">
        <f aca="false">SUM(D47:D56)</f>
        <v>0</v>
      </c>
      <c r="E57" s="337" t="n">
        <f aca="false">SUM(E47:E56)</f>
        <v>0</v>
      </c>
      <c r="F57" s="337" t="n">
        <f aca="false">SUM(F47:F56)</f>
        <v>0</v>
      </c>
      <c r="G57" s="337" t="n">
        <f aca="false">SUM(G47:G56)</f>
        <v>0</v>
      </c>
      <c r="H57" s="337" t="n">
        <f aca="false">SUM(H47:H56)</f>
        <v>0</v>
      </c>
      <c r="I57" s="337" t="n">
        <f aca="false">SUM(I47:I56)</f>
        <v>0</v>
      </c>
      <c r="J57" s="337" t="n">
        <f aca="false">SUM(J47:J56)</f>
        <v>0</v>
      </c>
      <c r="K57" s="337" t="n">
        <f aca="false">SUM(K47:K56)</f>
        <v>0</v>
      </c>
      <c r="L57" s="337" t="n">
        <f aca="false">SUM(L47:L56)</f>
        <v>0</v>
      </c>
      <c r="M57" s="337" t="n">
        <f aca="false">SUM(M47:M56)</f>
        <v>0</v>
      </c>
      <c r="N57" s="337" t="n">
        <f aca="false">SUM(N47:N56)</f>
        <v>0</v>
      </c>
      <c r="O57" s="140" t="n">
        <f aca="false">SUM(C57:N57)</f>
        <v>0</v>
      </c>
    </row>
    <row r="58" customFormat="false" ht="13.8" hidden="false" customHeight="false" outlineLevel="0" collapsed="false">
      <c r="A58" s="0"/>
      <c r="B58" s="321" t="s">
        <v>206</v>
      </c>
      <c r="C58" s="140" t="n">
        <f aca="false">C24-C25-C44-C57</f>
        <v>0</v>
      </c>
      <c r="D58" s="140" t="n">
        <f aca="false">D24-D25-D44-D57</f>
        <v>0</v>
      </c>
      <c r="E58" s="140" t="n">
        <f aca="false">E24-E25-E44-E57</f>
        <v>0</v>
      </c>
      <c r="F58" s="140" t="n">
        <f aca="false">F24-F25-F44-F57</f>
        <v>0</v>
      </c>
      <c r="G58" s="140" t="n">
        <f aca="false">G24-G25-G44-G57</f>
        <v>0</v>
      </c>
      <c r="H58" s="140" t="n">
        <f aca="false">H24-H25-H44-H57</f>
        <v>0</v>
      </c>
      <c r="I58" s="140" t="n">
        <f aca="false">I24-I25-I44-I57</f>
        <v>0</v>
      </c>
      <c r="J58" s="140" t="n">
        <f aca="false">J24-J25-J44-J57</f>
        <v>0</v>
      </c>
      <c r="K58" s="140" t="n">
        <f aca="false">K24-K25-K44-K57</f>
        <v>0</v>
      </c>
      <c r="L58" s="140" t="n">
        <f aca="false">L24-L25-L44-L57</f>
        <v>0</v>
      </c>
      <c r="M58" s="140" t="n">
        <f aca="false">M24-M25-M44-M57</f>
        <v>0</v>
      </c>
      <c r="N58" s="140" t="n">
        <f aca="false">N24-N25-N44-N57</f>
        <v>0</v>
      </c>
      <c r="O58" s="140" t="n">
        <f aca="false">SUM(C58:N58)</f>
        <v>0</v>
      </c>
    </row>
    <row r="59" customFormat="false" ht="13.8" hidden="false" customHeight="false" outlineLevel="0" collapsed="false">
      <c r="A59" s="0"/>
      <c r="B59" s="120" t="s">
        <v>207</v>
      </c>
      <c r="C59" s="291" t="n">
        <f aca="false">IF(C65&gt;0,C64*'4-AdditionalInputs'!$C$39,0)</f>
        <v>0</v>
      </c>
      <c r="D59" s="291" t="n">
        <f aca="false">+IF(D65&gt;0,IF(C65&lt;0,(D64-ABS(C65))*'4-AdditionalInputs'!$C$39,'7a-IncomeStatementYear1'!D64*'4-AdditionalInputs'!$C$39),IF('7a-IncomeStatementYear1'!C65&gt;0,-'7a-IncomeStatementYear1'!C65*'4-AdditionalInputs'!$C$39,0))</f>
        <v>0</v>
      </c>
      <c r="E59" s="291" t="n">
        <f aca="false">+IF(E65&gt;0,IF(D65&lt;0,(E64-ABS(D65))*'4-AdditionalInputs'!$C$39,'7a-IncomeStatementYear1'!E64*'4-AdditionalInputs'!$C$39),IF('7a-IncomeStatementYear1'!D65&gt;0,-'7a-IncomeStatementYear1'!D65*'4-AdditionalInputs'!$C$39,0))</f>
        <v>0</v>
      </c>
      <c r="F59" s="291" t="n">
        <f aca="false">+IF(F65&gt;0,IF(E65&lt;0,(F64-ABS(E65))*'4-AdditionalInputs'!$C$39,'7a-IncomeStatementYear1'!F64*'4-AdditionalInputs'!$C$39),IF('7a-IncomeStatementYear1'!E65&gt;0,-'7a-IncomeStatementYear1'!E65*'4-AdditionalInputs'!$C$39,0))</f>
        <v>0</v>
      </c>
      <c r="G59" s="291" t="n">
        <f aca="false">+IF(G65&gt;0,IF(F65&lt;0,(G64-ABS(F65))*'4-AdditionalInputs'!$C$39,'7a-IncomeStatementYear1'!G64*'4-AdditionalInputs'!$C$39),IF('7a-IncomeStatementYear1'!F65&gt;0,-'7a-IncomeStatementYear1'!F65*'4-AdditionalInputs'!$C$39,0))</f>
        <v>0</v>
      </c>
      <c r="H59" s="291" t="n">
        <f aca="false">+IF(H65&gt;0,IF(G65&lt;0,(H64-ABS(G65))*'4-AdditionalInputs'!$C$39,'7a-IncomeStatementYear1'!H64*'4-AdditionalInputs'!$C$39),IF('7a-IncomeStatementYear1'!G65&gt;0,-'7a-IncomeStatementYear1'!G65*'4-AdditionalInputs'!$C$39,0))</f>
        <v>0</v>
      </c>
      <c r="I59" s="291" t="n">
        <f aca="false">+IF(I65&gt;0,IF(H65&lt;0,(I64-ABS(H65))*'4-AdditionalInputs'!$C$39,'7a-IncomeStatementYear1'!I64*'4-AdditionalInputs'!$C$39),IF('7a-IncomeStatementYear1'!H65&gt;0,-'7a-IncomeStatementYear1'!H65*'4-AdditionalInputs'!$C$39,0))</f>
        <v>0</v>
      </c>
      <c r="J59" s="291" t="n">
        <f aca="false">+IF(J65&gt;0,IF(I65&lt;0,(J64-ABS(I65))*'4-AdditionalInputs'!$C$39,'7a-IncomeStatementYear1'!J64*'4-AdditionalInputs'!$C$39),IF('7a-IncomeStatementYear1'!I65&gt;0,-'7a-IncomeStatementYear1'!I65*'4-AdditionalInputs'!$C$39,0))</f>
        <v>0</v>
      </c>
      <c r="K59" s="291" t="n">
        <f aca="false">+IF(K65&gt;0,IF(J65&lt;0,(K64-ABS(J65))*'4-AdditionalInputs'!$C$39,'7a-IncomeStatementYear1'!K64*'4-AdditionalInputs'!$C$39),IF('7a-IncomeStatementYear1'!J65&gt;0,-'7a-IncomeStatementYear1'!J65*'4-AdditionalInputs'!$C$39,0))</f>
        <v>0</v>
      </c>
      <c r="L59" s="291" t="n">
        <f aca="false">+IF(L65&gt;0,IF(K65&lt;0,(L64-ABS(K65))*'4-AdditionalInputs'!$C$39,'7a-IncomeStatementYear1'!L64*'4-AdditionalInputs'!$C$39),IF('7a-IncomeStatementYear1'!K65&gt;0,-'7a-IncomeStatementYear1'!K65*'4-AdditionalInputs'!$C$39,0))</f>
        <v>0</v>
      </c>
      <c r="M59" s="291" t="n">
        <f aca="false">+IF(M65&gt;0,IF(L65&lt;0,(M64-ABS(L65))*'4-AdditionalInputs'!$C$39,'7a-IncomeStatementYear1'!M64*'4-AdditionalInputs'!$C$39),IF('7a-IncomeStatementYear1'!L65&gt;0,-'7a-IncomeStatementYear1'!L65*'4-AdditionalInputs'!$C$39,0))</f>
        <v>0</v>
      </c>
      <c r="N59" s="291" t="n">
        <f aca="false">+IF(N65&gt;0,IF(M65&lt;0,(N64-ABS(M65))*'4-AdditionalInputs'!$C$39,'7a-IncomeStatementYear1'!N64*'4-AdditionalInputs'!$C$39),IF('7a-IncomeStatementYear1'!M65&gt;0,-'7a-IncomeStatementYear1'!M65*'4-AdditionalInputs'!$C$39,0))</f>
        <v>0</v>
      </c>
      <c r="O59" s="140" t="n">
        <f aca="false">SUM(C59:N59)</f>
        <v>0</v>
      </c>
    </row>
    <row r="60" customFormat="false" ht="13.8" hidden="false" customHeight="false" outlineLevel="0" collapsed="false">
      <c r="A60" s="0"/>
      <c r="B60" s="120" t="s">
        <v>208</v>
      </c>
      <c r="C60" s="140" t="n">
        <f aca="false">C58-C59</f>
        <v>0</v>
      </c>
      <c r="D60" s="140" t="n">
        <f aca="false">D58-D59</f>
        <v>0</v>
      </c>
      <c r="E60" s="140" t="n">
        <f aca="false">E58-E59</f>
        <v>0</v>
      </c>
      <c r="F60" s="140" t="n">
        <f aca="false">F58-F59</f>
        <v>0</v>
      </c>
      <c r="G60" s="140" t="n">
        <f aca="false">G58-G59</f>
        <v>0</v>
      </c>
      <c r="H60" s="140" t="n">
        <f aca="false">H58-H59</f>
        <v>0</v>
      </c>
      <c r="I60" s="140" t="n">
        <f aca="false">I58-I59</f>
        <v>0</v>
      </c>
      <c r="J60" s="140" t="n">
        <f aca="false">J58-J59</f>
        <v>0</v>
      </c>
      <c r="K60" s="140" t="n">
        <f aca="false">K58-K59</f>
        <v>0</v>
      </c>
      <c r="L60" s="140" t="n">
        <f aca="false">L58-L59</f>
        <v>0</v>
      </c>
      <c r="M60" s="140" t="n">
        <f aca="false">M58-M59</f>
        <v>0</v>
      </c>
      <c r="N60" s="140" t="n">
        <f aca="false">N58-N59</f>
        <v>0</v>
      </c>
      <c r="O60" s="140" t="n">
        <f aca="false">SUM(C60:N60)</f>
        <v>0</v>
      </c>
    </row>
    <row r="61" customFormat="false" ht="13.8" hidden="false" customHeight="false" outlineLevel="0" collapsed="false">
      <c r="A61" s="0"/>
      <c r="B61" s="0"/>
      <c r="C61" s="0"/>
      <c r="D61" s="0"/>
      <c r="E61" s="0"/>
      <c r="F61" s="0"/>
      <c r="G61" s="0"/>
      <c r="H61" s="0"/>
      <c r="I61" s="0"/>
      <c r="J61" s="0"/>
      <c r="K61" s="0"/>
      <c r="L61" s="0"/>
      <c r="M61" s="0"/>
      <c r="N61" s="0"/>
      <c r="O61" s="0"/>
    </row>
    <row r="62" customFormat="false" ht="13.8" hidden="false" customHeight="false" outlineLevel="0" collapsed="false">
      <c r="A62" s="0"/>
      <c r="B62" s="0"/>
      <c r="C62" s="0"/>
      <c r="D62" s="0"/>
      <c r="E62" s="0"/>
      <c r="F62" s="0"/>
      <c r="G62" s="0"/>
      <c r="H62" s="0"/>
      <c r="I62" s="0"/>
      <c r="J62" s="0"/>
      <c r="K62" s="0"/>
      <c r="L62" s="0"/>
      <c r="M62" s="0"/>
      <c r="N62" s="0"/>
      <c r="O62" s="0"/>
    </row>
    <row r="63" customFormat="false" ht="13.8" hidden="false" customHeight="false" outlineLevel="0" collapsed="false">
      <c r="A63" s="349"/>
      <c r="B63" s="350" t="s">
        <v>209</v>
      </c>
      <c r="C63" s="351"/>
      <c r="D63" s="351"/>
      <c r="E63" s="351"/>
      <c r="F63" s="351"/>
      <c r="G63" s="351"/>
      <c r="H63" s="351"/>
      <c r="I63" s="351"/>
      <c r="J63" s="351"/>
      <c r="K63" s="351"/>
      <c r="L63" s="351"/>
      <c r="M63" s="351"/>
      <c r="N63" s="351"/>
      <c r="O63" s="349"/>
    </row>
    <row r="64" customFormat="false" ht="13.8" hidden="false" customHeight="false" outlineLevel="0" collapsed="false">
      <c r="A64" s="349"/>
      <c r="B64" s="351" t="s">
        <v>210</v>
      </c>
      <c r="C64" s="352" t="n">
        <f aca="false">C45-C48-C50-C51-C55</f>
        <v>0</v>
      </c>
      <c r="D64" s="352" t="n">
        <f aca="false">D45-D48-D50-D51-D55</f>
        <v>0</v>
      </c>
      <c r="E64" s="352" t="n">
        <f aca="false">E45-E48-E50-E51-E55</f>
        <v>0</v>
      </c>
      <c r="F64" s="352" t="n">
        <f aca="false">F45-F48-F50-F51-F55</f>
        <v>0</v>
      </c>
      <c r="G64" s="352" t="n">
        <f aca="false">G45-G48-G50-G51-G55</f>
        <v>0</v>
      </c>
      <c r="H64" s="352" t="n">
        <f aca="false">+H45-H48-H50-H51-H55</f>
        <v>0</v>
      </c>
      <c r="I64" s="352" t="n">
        <f aca="false">+I45-I48-I50-I51-I55</f>
        <v>0</v>
      </c>
      <c r="J64" s="352" t="n">
        <f aca="false">+J45-J48-J50-J51-J55</f>
        <v>0</v>
      </c>
      <c r="K64" s="352" t="n">
        <f aca="false">+K45-K48-K50-K51-K55</f>
        <v>0</v>
      </c>
      <c r="L64" s="352" t="n">
        <f aca="false">+L45-L48-L50-L51-L55</f>
        <v>0</v>
      </c>
      <c r="M64" s="352" t="n">
        <f aca="false">+M45-M48-M50-M51-M55</f>
        <v>0</v>
      </c>
      <c r="N64" s="352" t="n">
        <f aca="false">+N45-N48-N50-N51-N55</f>
        <v>0</v>
      </c>
      <c r="O64" s="349"/>
    </row>
    <row r="65" customFormat="false" ht="13.8" hidden="false" customHeight="false" outlineLevel="0" collapsed="false">
      <c r="A65" s="349"/>
      <c r="B65" s="351" t="s">
        <v>211</v>
      </c>
      <c r="C65" s="352" t="n">
        <f aca="false">C64</f>
        <v>0</v>
      </c>
      <c r="D65" s="352" t="n">
        <f aca="false">C65+D64</f>
        <v>0</v>
      </c>
      <c r="E65" s="352" t="n">
        <f aca="false">D65+E64</f>
        <v>0</v>
      </c>
      <c r="F65" s="352" t="n">
        <f aca="false">E65+F64</f>
        <v>0</v>
      </c>
      <c r="G65" s="352" t="n">
        <f aca="false">F65+G64</f>
        <v>0</v>
      </c>
      <c r="H65" s="352" t="n">
        <f aca="false">+G65+H64</f>
        <v>0</v>
      </c>
      <c r="I65" s="352" t="n">
        <f aca="false">+H65+I64</f>
        <v>0</v>
      </c>
      <c r="J65" s="352" t="n">
        <f aca="false">+I65+J64</f>
        <v>0</v>
      </c>
      <c r="K65" s="352" t="n">
        <f aca="false">+J65+K64</f>
        <v>0</v>
      </c>
      <c r="L65" s="352" t="n">
        <f aca="false">+K65+L64</f>
        <v>0</v>
      </c>
      <c r="M65" s="352" t="n">
        <f aca="false">+L65+M64</f>
        <v>0</v>
      </c>
      <c r="N65" s="352" t="n">
        <f aca="false">+M65+N64</f>
        <v>0</v>
      </c>
      <c r="O65" s="349"/>
    </row>
  </sheetData>
  <sheetProtection sheet="true" password="cc3d" objects="true" scenarios="true" formatCells="false" formatColumns="false"/>
  <mergeCells count="3">
    <mergeCell ref="B2:C2"/>
    <mergeCell ref="C4:D4"/>
    <mergeCell ref="C5:D5"/>
  </mergeCells>
  <conditionalFormatting sqref="C59:N59">
    <cfRule type="expression" priority="2" aboveAverage="0" equalAverage="0" bottom="0" percent="0" rank="0" text="" dxfId="0">
      <formula>LEN(TRIM(C59))=0</formula>
    </cfRule>
  </conditionalFormatting>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MT,Regular"&amp;12Income Statement Year 1</oddHeader>
    <oddFooter>&amp;L&amp;F&amp;C&amp;A&amp;R&amp;D &amp;T</oddFooter>
  </headerFooter>
  <rowBreaks count="1" manualBreakCount="1">
    <brk id="60" man="true" max="16383" min="0"/>
  </rowBreaks>
</worksheet>
</file>

<file path=xl/worksheets/sheet13.xml><?xml version="1.0" encoding="utf-8"?>
<worksheet xmlns="http://schemas.openxmlformats.org/spreadsheetml/2006/main" xmlns:r="http://schemas.openxmlformats.org/officeDocument/2006/relationships">
  <sheetPr filterMode="false">
    <pageSetUpPr fitToPage="true"/>
  </sheetPr>
  <dimension ref="1:69"/>
  <sheetViews>
    <sheetView windowProtection="false" showFormulas="false" showGridLines="true" showRowColHeaders="true" showZeros="true" rightToLeft="false" tabSelected="false" showOutlineSymbols="true" defaultGridColor="true" view="normal" topLeftCell="A43" colorId="64" zoomScale="80" zoomScaleNormal="80" zoomScalePageLayoutView="100" workbookViewId="0">
      <selection pane="topLeft" activeCell="H60" activeCellId="0" sqref="H60"/>
    </sheetView>
  </sheetViews>
  <sheetFormatPr defaultRowHeight="13.8"/>
  <cols>
    <col collapsed="false" hidden="false" max="1" min="1" style="95" width="3.88663967611336"/>
    <col collapsed="false" hidden="false" max="2" min="2" style="93" width="46.6599190283401"/>
    <col collapsed="false" hidden="false" max="3" min="3" style="93" width="17.4372469635628"/>
    <col collapsed="false" hidden="false" max="4" min="4" style="353" width="9.33198380566802"/>
    <col collapsed="false" hidden="false" max="5" min="5" style="93" width="13.8906882591093"/>
    <col collapsed="false" hidden="false" max="6" min="6" style="354" width="9.33198380566802"/>
    <col collapsed="false" hidden="false" max="7" min="7" style="93" width="12.4412955465587"/>
    <col collapsed="false" hidden="false" max="8" min="8" style="353" width="9.66396761133603"/>
    <col collapsed="false" hidden="false" max="10" min="9" style="95" width="9.66396761133603"/>
    <col collapsed="false" hidden="false" max="11" min="11" style="93" width="9.66396761133603"/>
    <col collapsed="false" hidden="false" max="14" min="12" style="93" width="10.1133603238866"/>
    <col collapsed="false" hidden="false" max="15" min="15" style="93" width="11.5546558704453"/>
    <col collapsed="false" hidden="false" max="1025" min="16" style="93" width="8.88259109311741"/>
  </cols>
  <sheetData>
    <row r="1" s="95" customFormat="true" ht="13.8" hidden="false" customHeight="false" outlineLevel="0" collapsed="false">
      <c r="D1" s="355"/>
      <c r="F1" s="356"/>
      <c r="H1" s="355"/>
    </row>
    <row r="2" s="93" customFormat="true" ht="13.8" hidden="false" customHeight="false" outlineLevel="0" collapsed="false">
      <c r="B2" s="316" t="s">
        <v>212</v>
      </c>
      <c r="C2" s="316"/>
      <c r="D2" s="357"/>
      <c r="E2" s="238"/>
      <c r="F2" s="358"/>
      <c r="G2" s="238"/>
      <c r="H2" s="357"/>
      <c r="I2" s="359"/>
      <c r="J2" s="359"/>
      <c r="K2" s="359"/>
    </row>
    <row r="3" s="93" customFormat="true" ht="13.8" hidden="false" customHeight="false" outlineLevel="0" collapsed="false">
      <c r="B3" s="360"/>
      <c r="C3" s="360"/>
      <c r="D3" s="357"/>
      <c r="E3" s="238"/>
      <c r="F3" s="358"/>
      <c r="G3" s="238"/>
      <c r="H3" s="357"/>
      <c r="I3" s="359"/>
      <c r="J3" s="359"/>
      <c r="K3" s="359"/>
    </row>
    <row r="4" customFormat="false" ht="19.5" hidden="false" customHeight="true" outlineLevel="0" collapsed="false">
      <c r="A4" s="93"/>
      <c r="B4" s="334" t="s">
        <v>8</v>
      </c>
      <c r="C4" s="334" t="s">
        <v>9</v>
      </c>
      <c r="D4" s="361"/>
      <c r="E4" s="334"/>
      <c r="F4" s="362"/>
      <c r="G4" s="238"/>
      <c r="H4" s="361"/>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8.75" hidden="false" customHeight="true" outlineLevel="0" collapsed="false">
      <c r="A5" s="93"/>
      <c r="B5" s="335" t="str">
        <f aca="false">IF(ISBLANK(Directions!C6), "Owner", Directions!C6)</f>
        <v>Owner</v>
      </c>
      <c r="C5" s="335" t="str">
        <f aca="false">IF(ISBLANK(Directions!D6), "Company 1", Directions!D6)</f>
        <v>Company 1</v>
      </c>
      <c r="D5" s="363"/>
      <c r="E5" s="335"/>
      <c r="F5" s="364"/>
      <c r="G5" s="238"/>
      <c r="H5" s="363"/>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95" customFormat="true" ht="13.8" hidden="false" customHeight="false" outlineLevel="0" collapsed="false">
      <c r="D6" s="355"/>
      <c r="F6" s="356"/>
      <c r="H6" s="355"/>
    </row>
    <row r="7" customFormat="false" ht="14.4" hidden="false" customHeight="false" outlineLevel="0" collapsed="false">
      <c r="A7" s="93"/>
      <c r="B7" s="104" t="s">
        <v>197</v>
      </c>
      <c r="C7" s="104" t="str">
        <f aca="false">IF(Directions!F6&gt;0,Directions!F6,"First Year")</f>
        <v>First Year</v>
      </c>
      <c r="D7" s="104"/>
      <c r="E7" s="104" t="str">
        <f aca="false">IF(Directions!F6&gt;0,Directions!F6+1,"Second Year")</f>
        <v>Second Year</v>
      </c>
      <c r="F7" s="104"/>
      <c r="G7" s="104" t="str">
        <f aca="false">IF(Directions!F6&gt;0,Directions!F6+2,"Third Year")</f>
        <v>Third Year</v>
      </c>
      <c r="H7" s="104"/>
    </row>
    <row r="8" customFormat="false" ht="14.4" hidden="false" customHeight="false" outlineLevel="0" collapsed="false">
      <c r="A8" s="93"/>
      <c r="B8" s="365" t="str">
        <f aca="false">'3a-SalesForecastYear1'!B17</f>
        <v>Product 1</v>
      </c>
      <c r="C8" s="366" t="n">
        <f aca="false">'3b-SalesForecastYrs1-3'!B13</f>
        <v>0</v>
      </c>
      <c r="D8" s="367"/>
      <c r="E8" s="366" t="n">
        <f aca="false">'3b-SalesForecastYrs1-3'!O13</f>
        <v>0</v>
      </c>
      <c r="F8" s="368"/>
      <c r="G8" s="366" t="n">
        <f aca="false">'3b-SalesForecastYrs1-3'!AD13</f>
        <v>0</v>
      </c>
      <c r="H8" s="367"/>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93"/>
      <c r="B9" s="369" t="str">
        <f aca="false">'3a-SalesForecastYear1'!B23</f>
        <v>Product 2</v>
      </c>
      <c r="C9" s="370" t="n">
        <f aca="false">'3b-SalesForecastYrs1-3'!B19</f>
        <v>0</v>
      </c>
      <c r="D9" s="371"/>
      <c r="E9" s="370" t="n">
        <f aca="false">'3b-SalesForecastYrs1-3'!O19</f>
        <v>0</v>
      </c>
      <c r="F9" s="372"/>
      <c r="G9" s="370" t="n">
        <f aca="false">'3b-SalesForecastYrs1-3'!AD19</f>
        <v>0</v>
      </c>
      <c r="H9" s="371"/>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93"/>
      <c r="B10" s="336" t="str">
        <f aca="false">'3a-SalesForecastYear1'!B29</f>
        <v>Product 3</v>
      </c>
      <c r="C10" s="370" t="n">
        <f aca="false">'3b-SalesForecastYrs1-3'!B25</f>
        <v>0</v>
      </c>
      <c r="D10" s="373"/>
      <c r="E10" s="370" t="n">
        <f aca="false">'3b-SalesForecastYrs1-3'!O25</f>
        <v>0</v>
      </c>
      <c r="F10" s="374"/>
      <c r="G10" s="370" t="n">
        <f aca="false">'3b-SalesForecastYrs1-3'!AD25</f>
        <v>0</v>
      </c>
      <c r="H10" s="373"/>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93"/>
      <c r="B11" s="369" t="str">
        <f aca="false">'3a-SalesForecastYear1'!B35</f>
        <v>Product 4</v>
      </c>
      <c r="C11" s="370" t="n">
        <f aca="false">'3b-SalesForecastYrs1-3'!B31</f>
        <v>0</v>
      </c>
      <c r="D11" s="373"/>
      <c r="E11" s="370" t="n">
        <f aca="false">'3b-SalesForecastYrs1-3'!O31</f>
        <v>0</v>
      </c>
      <c r="F11" s="374"/>
      <c r="G11" s="370" t="n">
        <f aca="false">'3b-SalesForecastYrs1-3'!AD31</f>
        <v>0</v>
      </c>
      <c r="H11" s="373"/>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93"/>
      <c r="B12" s="369" t="str">
        <f aca="false">'3a-SalesForecastYear1'!B41</f>
        <v>Product 5</v>
      </c>
      <c r="C12" s="370" t="n">
        <f aca="false">'3b-SalesForecastYrs1-3'!B37</f>
        <v>0</v>
      </c>
      <c r="D12" s="373"/>
      <c r="E12" s="370" t="n">
        <f aca="false">'3b-SalesForecastYrs1-3'!O37</f>
        <v>0</v>
      </c>
      <c r="F12" s="374"/>
      <c r="G12" s="370" t="n">
        <f aca="false">'3b-SalesForecastYrs1-3'!AD37</f>
        <v>0</v>
      </c>
      <c r="H12" s="373"/>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93"/>
      <c r="B13" s="369" t="str">
        <f aca="false">'3a-SalesForecastYear1'!B47</f>
        <v>Product 6</v>
      </c>
      <c r="C13" s="370" t="n">
        <f aca="false">'3b-SalesForecastYrs1-3'!B43</f>
        <v>0</v>
      </c>
      <c r="D13" s="373"/>
      <c r="E13" s="370" t="n">
        <f aca="false">'3b-SalesForecastYrs1-3'!O43</f>
        <v>0</v>
      </c>
      <c r="F13" s="374"/>
      <c r="G13" s="370" t="n">
        <f aca="false">'3b-SalesForecastYrs1-3'!AD43</f>
        <v>0</v>
      </c>
      <c r="H13" s="373"/>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93"/>
      <c r="B14" s="375" t="s">
        <v>198</v>
      </c>
      <c r="C14" s="163" t="n">
        <f aca="false">SUM(C8:C13)</f>
        <v>0</v>
      </c>
      <c r="D14" s="376" t="n">
        <v>1</v>
      </c>
      <c r="E14" s="163" t="n">
        <f aca="false">SUM(E8:E13)</f>
        <v>0</v>
      </c>
      <c r="F14" s="377" t="n">
        <v>1</v>
      </c>
      <c r="G14" s="163" t="n">
        <f aca="false">SUM(G8:G13)</f>
        <v>0</v>
      </c>
      <c r="H14" s="376" t="n">
        <v>1</v>
      </c>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4" hidden="false" customHeight="false" outlineLevel="0" collapsed="false">
      <c r="A15" s="93"/>
      <c r="B15" s="104" t="s">
        <v>178</v>
      </c>
      <c r="C15" s="104"/>
      <c r="D15" s="104"/>
      <c r="E15" s="104"/>
      <c r="F15" s="104"/>
      <c r="G15" s="104"/>
      <c r="H15" s="104"/>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4" hidden="false" customHeight="false" outlineLevel="0" collapsed="false">
      <c r="A16" s="93"/>
      <c r="B16" s="365" t="str">
        <f aca="false">'3a-SalesForecastYear1'!B17</f>
        <v>Product 1</v>
      </c>
      <c r="C16" s="366" t="n">
        <f aca="false">'3b-SalesForecastYrs1-3'!B14</f>
        <v>0</v>
      </c>
      <c r="D16" s="367"/>
      <c r="E16" s="366" t="n">
        <f aca="false">'3b-SalesForecastYrs1-3'!O14</f>
        <v>0</v>
      </c>
      <c r="F16" s="378"/>
      <c r="G16" s="366" t="n">
        <f aca="false">'3b-SalesForecastYrs1-3'!AD14</f>
        <v>0</v>
      </c>
      <c r="H16" s="367"/>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8" hidden="false" customHeight="false" outlineLevel="0" collapsed="false">
      <c r="A17" s="93"/>
      <c r="B17" s="369" t="str">
        <f aca="false">'3a-SalesForecastYear1'!B23</f>
        <v>Product 2</v>
      </c>
      <c r="C17" s="370" t="n">
        <f aca="false">'3b-SalesForecastYrs1-3'!B20</f>
        <v>0</v>
      </c>
      <c r="D17" s="373"/>
      <c r="E17" s="370" t="n">
        <f aca="false">'3b-SalesForecastYrs1-3'!O20</f>
        <v>0</v>
      </c>
      <c r="F17" s="379"/>
      <c r="G17" s="370" t="n">
        <f aca="false">'3b-SalesForecastYrs1-3'!AD20</f>
        <v>0</v>
      </c>
      <c r="H17" s="373"/>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8" hidden="false" customHeight="false" outlineLevel="0" collapsed="false">
      <c r="A18" s="93"/>
      <c r="B18" s="336" t="str">
        <f aca="false">'3a-SalesForecastYear1'!B29</f>
        <v>Product 3</v>
      </c>
      <c r="C18" s="370" t="n">
        <f aca="false">'3b-SalesForecastYrs1-3'!B26</f>
        <v>0</v>
      </c>
      <c r="D18" s="373"/>
      <c r="E18" s="370" t="n">
        <f aca="false">'3b-SalesForecastYrs1-3'!O26</f>
        <v>0</v>
      </c>
      <c r="F18" s="379"/>
      <c r="G18" s="370" t="n">
        <f aca="false">'3b-SalesForecastYrs1-3'!AD26</f>
        <v>0</v>
      </c>
      <c r="H18" s="373"/>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93"/>
      <c r="B19" s="369" t="str">
        <f aca="false">'3a-SalesForecastYear1'!B35</f>
        <v>Product 4</v>
      </c>
      <c r="C19" s="370" t="n">
        <f aca="false">'3b-SalesForecastYrs1-3'!B32</f>
        <v>0</v>
      </c>
      <c r="D19" s="373"/>
      <c r="E19" s="370" t="n">
        <f aca="false">'3b-SalesForecastYrs1-3'!O32</f>
        <v>0</v>
      </c>
      <c r="F19" s="379"/>
      <c r="G19" s="370" t="n">
        <f aca="false">'3b-SalesForecastYrs1-3'!AD32</f>
        <v>0</v>
      </c>
      <c r="H19" s="373"/>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93"/>
      <c r="B20" s="369" t="str">
        <f aca="false">'3a-SalesForecastYear1'!B41</f>
        <v>Product 5</v>
      </c>
      <c r="C20" s="370" t="n">
        <f aca="false">'3b-SalesForecastYrs1-3'!B38</f>
        <v>0</v>
      </c>
      <c r="D20" s="373"/>
      <c r="E20" s="370" t="n">
        <f aca="false">'3b-SalesForecastYrs1-3'!O38</f>
        <v>0</v>
      </c>
      <c r="F20" s="379"/>
      <c r="G20" s="370" t="n">
        <f aca="false">'3b-SalesForecastYrs1-3'!AD38</f>
        <v>0</v>
      </c>
      <c r="H20" s="373"/>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8" hidden="false" customHeight="false" outlineLevel="0" collapsed="false">
      <c r="A21" s="93"/>
      <c r="B21" s="369" t="str">
        <f aca="false">'3a-SalesForecastYear1'!B47</f>
        <v>Product 6</v>
      </c>
      <c r="C21" s="370" t="n">
        <f aca="false">'3b-SalesForecastYrs1-3'!B44</f>
        <v>0</v>
      </c>
      <c r="D21" s="373"/>
      <c r="E21" s="370" t="n">
        <f aca="false">'3b-SalesForecastYrs1-3'!O44</f>
        <v>0</v>
      </c>
      <c r="F21" s="379"/>
      <c r="G21" s="370" t="n">
        <f aca="false">'3b-SalesForecastYrs1-3'!AD44</f>
        <v>0</v>
      </c>
      <c r="H21" s="373"/>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8" hidden="false" customHeight="false" outlineLevel="0" collapsed="false">
      <c r="A22" s="93"/>
      <c r="B22" s="375" t="s">
        <v>107</v>
      </c>
      <c r="C22" s="380" t="n">
        <f aca="false">SUM(C16:C21)</f>
        <v>0</v>
      </c>
      <c r="D22" s="381" t="n">
        <f aca="false">IF(C14=0,0,C22/C14)</f>
        <v>0</v>
      </c>
      <c r="E22" s="380" t="n">
        <f aca="false">SUM(E16:E21)</f>
        <v>0</v>
      </c>
      <c r="F22" s="381" t="n">
        <f aca="false">IF(E14=0,0,E22/E14)</f>
        <v>0</v>
      </c>
      <c r="G22" s="380" t="n">
        <f aca="false">SUM(G16:G21)</f>
        <v>0</v>
      </c>
      <c r="H22" s="381" t="n">
        <f aca="false">IF(G14=0,0,G22/G14)</f>
        <v>0</v>
      </c>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93"/>
      <c r="B23" s="375" t="s">
        <v>199</v>
      </c>
      <c r="C23" s="382" t="n">
        <f aca="false">C14-C22</f>
        <v>0</v>
      </c>
      <c r="D23" s="381" t="n">
        <f aca="false">IF(C14=0,0,C23/C14)</f>
        <v>0</v>
      </c>
      <c r="E23" s="382" t="n">
        <f aca="false">E14-E22</f>
        <v>0</v>
      </c>
      <c r="F23" s="381" t="n">
        <f aca="false">IF(E14=0,0,E23/E14)</f>
        <v>0</v>
      </c>
      <c r="G23" s="382" t="n">
        <f aca="false">G14-G22</f>
        <v>0</v>
      </c>
      <c r="H23" s="381" t="n">
        <f aca="false">IF(G14=0,0,G23/G14)</f>
        <v>0</v>
      </c>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8" hidden="false" customHeight="false" outlineLevel="0" collapsed="false">
      <c r="A24" s="93"/>
      <c r="B24" s="375" t="s">
        <v>181</v>
      </c>
      <c r="C24" s="382" t="n">
        <f aca="false">'2a-PayrollYear1'!R25</f>
        <v>0</v>
      </c>
      <c r="D24" s="381"/>
      <c r="E24" s="382" t="n">
        <f aca="false">'2b-PayrollYrs1-3'!E26</f>
        <v>0</v>
      </c>
      <c r="F24" s="383"/>
      <c r="G24" s="382" t="n">
        <f aca="false">'2b-PayrollYrs1-3'!G26</f>
        <v>0</v>
      </c>
      <c r="H24" s="384"/>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4.4" hidden="false" customHeight="false" outlineLevel="0" collapsed="false">
      <c r="A25" s="93"/>
      <c r="B25" s="104" t="s">
        <v>180</v>
      </c>
      <c r="C25" s="104"/>
      <c r="D25" s="104"/>
      <c r="E25" s="104"/>
      <c r="F25" s="104"/>
      <c r="G25" s="104"/>
      <c r="H25" s="104"/>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s="102" customFormat="true" ht="14.4" hidden="false" customHeight="false" outlineLevel="0" collapsed="false">
      <c r="B26" s="385" t="str">
        <f aca="false">'5a-OpExYear1'!B10</f>
        <v>Advertising</v>
      </c>
      <c r="C26" s="149" t="n">
        <f aca="false">'5b-OpExYrs1-3'!C8</f>
        <v>0</v>
      </c>
      <c r="D26" s="386"/>
      <c r="E26" s="149" t="n">
        <f aca="false">'5b-OpExYrs1-3'!E8</f>
        <v>0</v>
      </c>
      <c r="F26" s="387"/>
      <c r="G26" s="149" t="n">
        <f aca="false">'5b-OpExYrs1-3'!G8</f>
        <v>0</v>
      </c>
      <c r="H26" s="386"/>
    </row>
    <row r="27" customFormat="false" ht="13.8" hidden="false" customHeight="false" outlineLevel="0" collapsed="false">
      <c r="A27" s="102"/>
      <c r="B27" s="385" t="str">
        <f aca="false">'5a-OpExYear1'!B11</f>
        <v>Car and Truck Expenses</v>
      </c>
      <c r="C27" s="153" t="n">
        <f aca="false">'5b-OpExYrs1-3'!C9</f>
        <v>0</v>
      </c>
      <c r="D27" s="371"/>
      <c r="E27" s="153" t="n">
        <f aca="false">'5b-OpExYrs1-3'!E9</f>
        <v>0</v>
      </c>
      <c r="F27" s="388"/>
      <c r="G27" s="153" t="n">
        <f aca="false">'5b-OpExYrs1-3'!G9</f>
        <v>0</v>
      </c>
      <c r="H27" s="371"/>
      <c r="I27" s="0"/>
      <c r="J27" s="0"/>
      <c r="K27" s="0"/>
      <c r="L27" s="0"/>
      <c r="M27" s="0"/>
      <c r="N27" s="0"/>
      <c r="O27" s="0"/>
      <c r="P27" s="0"/>
      <c r="Q27" s="0"/>
      <c r="R27" s="0"/>
      <c r="S27" s="0"/>
      <c r="T27" s="0"/>
      <c r="U27" s="0"/>
      <c r="V27" s="0"/>
      <c r="W27" s="0"/>
    </row>
    <row r="28" customFormat="false" ht="13.8" hidden="false" customHeight="false" outlineLevel="0" collapsed="false">
      <c r="A28" s="102"/>
      <c r="B28" s="385" t="str">
        <f aca="false">'5a-OpExYear1'!B12</f>
        <v>Commissions and Fees</v>
      </c>
      <c r="C28" s="153" t="n">
        <f aca="false">'5b-OpExYrs1-3'!C10</f>
        <v>0</v>
      </c>
      <c r="D28" s="371"/>
      <c r="E28" s="153" t="n">
        <f aca="false">'5b-OpExYrs1-3'!E10</f>
        <v>0</v>
      </c>
      <c r="F28" s="388"/>
      <c r="G28" s="153" t="n">
        <f aca="false">'5b-OpExYrs1-3'!G10</f>
        <v>0</v>
      </c>
      <c r="H28" s="371"/>
      <c r="I28" s="0"/>
      <c r="J28" s="0"/>
      <c r="K28" s="0"/>
      <c r="L28" s="0"/>
      <c r="M28" s="0"/>
      <c r="N28" s="0"/>
      <c r="O28" s="0"/>
      <c r="P28" s="0"/>
      <c r="Q28" s="0"/>
      <c r="R28" s="0"/>
      <c r="S28" s="0"/>
      <c r="T28" s="0"/>
      <c r="U28" s="0"/>
      <c r="V28" s="0"/>
      <c r="W28" s="0"/>
    </row>
    <row r="29" customFormat="false" ht="13.8" hidden="false" customHeight="false" outlineLevel="0" collapsed="false">
      <c r="A29" s="102"/>
      <c r="B29" s="385" t="str">
        <f aca="false">'5a-OpExYear1'!B13</f>
        <v>Contract Labor (Not included in payroll)</v>
      </c>
      <c r="C29" s="153" t="n">
        <f aca="false">'5b-OpExYrs1-3'!C11</f>
        <v>0</v>
      </c>
      <c r="D29" s="371"/>
      <c r="E29" s="153" t="n">
        <f aca="false">'5b-OpExYrs1-3'!E11</f>
        <v>0</v>
      </c>
      <c r="F29" s="388"/>
      <c r="G29" s="153" t="n">
        <f aca="false">'5b-OpExYrs1-3'!G11</f>
        <v>0</v>
      </c>
      <c r="H29" s="371"/>
      <c r="I29" s="0"/>
      <c r="J29" s="0"/>
      <c r="K29" s="0"/>
      <c r="L29" s="0"/>
      <c r="M29" s="0"/>
      <c r="N29" s="0"/>
      <c r="O29" s="0"/>
      <c r="P29" s="0"/>
      <c r="Q29" s="0"/>
      <c r="R29" s="0"/>
      <c r="S29" s="0"/>
      <c r="T29" s="0"/>
      <c r="U29" s="0"/>
      <c r="V29" s="0"/>
      <c r="W29" s="0"/>
    </row>
    <row r="30" customFormat="false" ht="13.8" hidden="false" customHeight="false" outlineLevel="0" collapsed="false">
      <c r="A30" s="102"/>
      <c r="B30" s="385" t="str">
        <f aca="false">'5a-OpExYear1'!B14</f>
        <v>Insurance (other than health)</v>
      </c>
      <c r="C30" s="153" t="n">
        <f aca="false">'5b-OpExYrs1-3'!C12</f>
        <v>0</v>
      </c>
      <c r="D30" s="371"/>
      <c r="E30" s="153" t="n">
        <f aca="false">'5b-OpExYrs1-3'!E12</f>
        <v>0</v>
      </c>
      <c r="F30" s="388"/>
      <c r="G30" s="153" t="n">
        <f aca="false">'5b-OpExYrs1-3'!G12</f>
        <v>0</v>
      </c>
      <c r="H30" s="371"/>
      <c r="I30" s="0"/>
      <c r="J30" s="0"/>
      <c r="K30" s="0"/>
      <c r="L30" s="0"/>
      <c r="M30" s="0"/>
      <c r="N30" s="0"/>
      <c r="O30" s="0"/>
      <c r="P30" s="0"/>
      <c r="Q30" s="0"/>
      <c r="R30" s="0"/>
      <c r="S30" s="0"/>
      <c r="T30" s="0"/>
      <c r="U30" s="0"/>
      <c r="V30" s="0"/>
      <c r="W30" s="0"/>
    </row>
    <row r="31" customFormat="false" ht="13.8" hidden="false" customHeight="false" outlineLevel="0" collapsed="false">
      <c r="A31" s="93"/>
      <c r="B31" s="385" t="str">
        <f aca="false">'5a-OpExYear1'!B15</f>
        <v>Legal and Professional Services</v>
      </c>
      <c r="C31" s="153" t="n">
        <f aca="false">'5b-OpExYrs1-3'!C13</f>
        <v>0</v>
      </c>
      <c r="D31" s="371"/>
      <c r="E31" s="153" t="n">
        <f aca="false">'5b-OpExYrs1-3'!E13</f>
        <v>0</v>
      </c>
      <c r="F31" s="388"/>
      <c r="G31" s="153" t="n">
        <f aca="false">'5b-OpExYrs1-3'!G13</f>
        <v>0</v>
      </c>
      <c r="H31" s="371"/>
      <c r="K31" s="0"/>
      <c r="L31" s="0"/>
      <c r="M31" s="0"/>
      <c r="N31" s="0"/>
      <c r="O31" s="0"/>
      <c r="P31" s="0"/>
      <c r="Q31" s="0"/>
      <c r="R31" s="0"/>
      <c r="S31" s="0"/>
      <c r="T31" s="0"/>
      <c r="U31" s="0"/>
      <c r="V31" s="0"/>
      <c r="W31" s="0"/>
    </row>
    <row r="32" customFormat="false" ht="13.8" hidden="false" customHeight="false" outlineLevel="0" collapsed="false">
      <c r="A32" s="93"/>
      <c r="B32" s="385" t="str">
        <f aca="false">'5a-OpExYear1'!B16</f>
        <v>Licenses</v>
      </c>
      <c r="C32" s="153" t="n">
        <f aca="false">'5b-OpExYrs1-3'!C14</f>
        <v>0</v>
      </c>
      <c r="D32" s="371"/>
      <c r="E32" s="153" t="n">
        <f aca="false">'5b-OpExYrs1-3'!E14</f>
        <v>0</v>
      </c>
      <c r="F32" s="388"/>
      <c r="G32" s="153" t="n">
        <f aca="false">'5b-OpExYrs1-3'!G14</f>
        <v>0</v>
      </c>
      <c r="H32" s="371"/>
      <c r="K32" s="0"/>
      <c r="L32" s="0"/>
      <c r="M32" s="0"/>
      <c r="N32" s="0"/>
      <c r="O32" s="0"/>
      <c r="P32" s="0"/>
      <c r="Q32" s="0"/>
      <c r="R32" s="0"/>
      <c r="S32" s="0"/>
      <c r="T32" s="0"/>
      <c r="U32" s="0"/>
      <c r="V32" s="0"/>
      <c r="W32" s="0"/>
    </row>
    <row r="33" customFormat="false" ht="13.8" hidden="false" customHeight="false" outlineLevel="0" collapsed="false">
      <c r="A33" s="93"/>
      <c r="B33" s="385" t="str">
        <f aca="false">'5a-OpExYear1'!B17</f>
        <v>Office Expense</v>
      </c>
      <c r="C33" s="153" t="n">
        <f aca="false">'5b-OpExYrs1-3'!C15</f>
        <v>0</v>
      </c>
      <c r="D33" s="371"/>
      <c r="E33" s="153" t="n">
        <f aca="false">'5b-OpExYrs1-3'!E15</f>
        <v>0</v>
      </c>
      <c r="F33" s="388"/>
      <c r="G33" s="153" t="n">
        <f aca="false">'5b-OpExYrs1-3'!G15</f>
        <v>0</v>
      </c>
      <c r="H33" s="371"/>
      <c r="K33" s="0"/>
      <c r="L33" s="0"/>
      <c r="M33" s="0"/>
      <c r="N33" s="0"/>
      <c r="O33" s="0"/>
      <c r="P33" s="0"/>
      <c r="Q33" s="0"/>
      <c r="R33" s="0"/>
      <c r="S33" s="0"/>
      <c r="T33" s="0"/>
      <c r="U33" s="0"/>
      <c r="V33" s="0"/>
      <c r="W33" s="0"/>
    </row>
    <row r="34" customFormat="false" ht="13.8" hidden="false" customHeight="false" outlineLevel="0" collapsed="false">
      <c r="A34" s="93"/>
      <c r="B34" s="385" t="str">
        <f aca="false">'5a-OpExYear1'!B18</f>
        <v>Rent or Lease -- Vehicles, Machinery, Equipment</v>
      </c>
      <c r="C34" s="153" t="n">
        <f aca="false">'5b-OpExYrs1-3'!C16</f>
        <v>0</v>
      </c>
      <c r="D34" s="371"/>
      <c r="E34" s="153" t="n">
        <f aca="false">'5b-OpExYrs1-3'!E16</f>
        <v>0</v>
      </c>
      <c r="F34" s="388"/>
      <c r="G34" s="153" t="n">
        <f aca="false">'5b-OpExYrs1-3'!G16</f>
        <v>0</v>
      </c>
      <c r="H34" s="371"/>
      <c r="K34" s="0"/>
      <c r="L34" s="0"/>
      <c r="M34" s="0"/>
      <c r="N34" s="0"/>
      <c r="O34" s="0"/>
      <c r="P34" s="0"/>
      <c r="Q34" s="0"/>
      <c r="R34" s="0"/>
      <c r="S34" s="0"/>
      <c r="T34" s="0"/>
      <c r="U34" s="0"/>
      <c r="V34" s="0"/>
      <c r="W34" s="0"/>
    </row>
    <row r="35" customFormat="false" ht="13.8" hidden="false" customHeight="false" outlineLevel="0" collapsed="false">
      <c r="A35" s="93"/>
      <c r="B35" s="385" t="str">
        <f aca="false">'5a-OpExYear1'!B19</f>
        <v>Rent or Lease -- Other Business Property</v>
      </c>
      <c r="C35" s="153" t="n">
        <f aca="false">'5b-OpExYrs1-3'!C17</f>
        <v>0</v>
      </c>
      <c r="D35" s="371"/>
      <c r="E35" s="153" t="n">
        <f aca="false">'5b-OpExYrs1-3'!E17</f>
        <v>0</v>
      </c>
      <c r="F35" s="388"/>
      <c r="G35" s="153" t="n">
        <f aca="false">'5b-OpExYrs1-3'!G17</f>
        <v>0</v>
      </c>
      <c r="H35" s="371"/>
      <c r="K35" s="0"/>
      <c r="L35" s="0"/>
      <c r="M35" s="0"/>
      <c r="N35" s="0"/>
      <c r="O35" s="0"/>
      <c r="P35" s="0"/>
      <c r="Q35" s="0"/>
      <c r="R35" s="0"/>
      <c r="S35" s="0"/>
      <c r="T35" s="0"/>
      <c r="U35" s="0"/>
      <c r="V35" s="0"/>
      <c r="W35" s="0"/>
    </row>
    <row r="36" customFormat="false" ht="13.8" hidden="false" customHeight="false" outlineLevel="0" collapsed="false">
      <c r="A36" s="93"/>
      <c r="B36" s="385" t="str">
        <f aca="false">'5a-OpExYear1'!B20</f>
        <v>Repairs and Maintenance</v>
      </c>
      <c r="C36" s="153" t="n">
        <f aca="false">'5b-OpExYrs1-3'!C18</f>
        <v>0</v>
      </c>
      <c r="D36" s="371"/>
      <c r="E36" s="153" t="n">
        <f aca="false">'5b-OpExYrs1-3'!E18</f>
        <v>0</v>
      </c>
      <c r="F36" s="388"/>
      <c r="G36" s="153" t="n">
        <f aca="false">'5b-OpExYrs1-3'!G18</f>
        <v>0</v>
      </c>
      <c r="H36" s="371"/>
      <c r="K36" s="0"/>
      <c r="L36" s="0"/>
      <c r="M36" s="0"/>
      <c r="N36" s="0"/>
      <c r="O36" s="0"/>
      <c r="P36" s="0"/>
      <c r="Q36" s="0"/>
      <c r="R36" s="0"/>
      <c r="S36" s="0"/>
      <c r="T36" s="0"/>
      <c r="U36" s="0"/>
      <c r="V36" s="0"/>
      <c r="W36" s="0"/>
    </row>
    <row r="37" customFormat="false" ht="13.8" hidden="false" customHeight="false" outlineLevel="0" collapsed="false">
      <c r="A37" s="93"/>
      <c r="B37" s="385" t="str">
        <f aca="false">'5a-OpExYear1'!B21</f>
        <v>Supplies</v>
      </c>
      <c r="C37" s="153" t="n">
        <f aca="false">'5b-OpExYrs1-3'!C19</f>
        <v>0</v>
      </c>
      <c r="D37" s="371"/>
      <c r="E37" s="153" t="n">
        <f aca="false">'5b-OpExYrs1-3'!E19</f>
        <v>0</v>
      </c>
      <c r="F37" s="388"/>
      <c r="G37" s="153" t="n">
        <f aca="false">'5b-OpExYrs1-3'!G19</f>
        <v>0</v>
      </c>
      <c r="H37" s="371"/>
      <c r="K37" s="0"/>
      <c r="L37" s="0"/>
      <c r="M37" s="0"/>
      <c r="N37" s="0"/>
      <c r="O37" s="0"/>
      <c r="P37" s="0"/>
      <c r="Q37" s="0"/>
      <c r="R37" s="0"/>
      <c r="S37" s="0"/>
      <c r="T37" s="0"/>
      <c r="U37" s="0"/>
      <c r="V37" s="0"/>
      <c r="W37" s="0"/>
    </row>
    <row r="38" customFormat="false" ht="13.8" hidden="false" customHeight="false" outlineLevel="0" collapsed="false">
      <c r="A38" s="93"/>
      <c r="B38" s="385" t="str">
        <f aca="false">'5a-OpExYear1'!B22</f>
        <v>Travel, Meals and Entertainment</v>
      </c>
      <c r="C38" s="153" t="n">
        <f aca="false">'5b-OpExYrs1-3'!C20</f>
        <v>0</v>
      </c>
      <c r="D38" s="371"/>
      <c r="E38" s="153" t="n">
        <f aca="false">'5b-OpExYrs1-3'!E20</f>
        <v>0</v>
      </c>
      <c r="F38" s="388"/>
      <c r="G38" s="153" t="n">
        <f aca="false">'5b-OpExYrs1-3'!G20</f>
        <v>0</v>
      </c>
      <c r="H38" s="371"/>
      <c r="K38" s="0"/>
      <c r="L38" s="0"/>
      <c r="M38" s="0"/>
      <c r="N38" s="0"/>
      <c r="O38" s="0"/>
      <c r="P38" s="0"/>
      <c r="Q38" s="0"/>
      <c r="R38" s="0"/>
      <c r="S38" s="0"/>
      <c r="T38" s="0"/>
      <c r="U38" s="0"/>
      <c r="V38" s="0"/>
      <c r="W38" s="0"/>
    </row>
    <row r="39" customFormat="false" ht="13.8" hidden="false" customHeight="false" outlineLevel="0" collapsed="false">
      <c r="A39" s="93"/>
      <c r="B39" s="385" t="str">
        <f aca="false">'5a-OpExYear1'!B23</f>
        <v>Utilities</v>
      </c>
      <c r="C39" s="153" t="n">
        <f aca="false">'5b-OpExYrs1-3'!C21</f>
        <v>0</v>
      </c>
      <c r="D39" s="371"/>
      <c r="E39" s="153" t="n">
        <f aca="false">'5b-OpExYrs1-3'!E21</f>
        <v>0</v>
      </c>
      <c r="F39" s="388"/>
      <c r="G39" s="153" t="n">
        <f aca="false">'5b-OpExYrs1-3'!G21</f>
        <v>0</v>
      </c>
      <c r="H39" s="371"/>
      <c r="K39" s="0"/>
      <c r="L39" s="0"/>
      <c r="M39" s="0"/>
      <c r="N39" s="0"/>
      <c r="O39" s="0"/>
      <c r="P39" s="0"/>
      <c r="Q39" s="0"/>
      <c r="R39" s="0"/>
      <c r="S39" s="0"/>
      <c r="T39" s="0"/>
      <c r="U39" s="0"/>
      <c r="V39" s="0"/>
      <c r="W39" s="0"/>
    </row>
    <row r="40" customFormat="false" ht="13.8" hidden="false" customHeight="false" outlineLevel="0" collapsed="false">
      <c r="A40" s="93"/>
      <c r="B40" s="385" t="str">
        <f aca="false">'5a-OpExYear1'!B24</f>
        <v>Miscellaneous </v>
      </c>
      <c r="C40" s="153" t="n">
        <f aca="false">'5b-OpExYrs1-3'!C22</f>
        <v>0</v>
      </c>
      <c r="D40" s="371"/>
      <c r="E40" s="153" t="n">
        <f aca="false">'5b-OpExYrs1-3'!E22</f>
        <v>0</v>
      </c>
      <c r="F40" s="388"/>
      <c r="G40" s="153" t="n">
        <f aca="false">'5b-OpExYrs1-3'!G22</f>
        <v>0</v>
      </c>
      <c r="H40" s="371"/>
      <c r="K40" s="0"/>
      <c r="L40" s="0"/>
      <c r="M40" s="0"/>
      <c r="N40" s="0"/>
      <c r="O40" s="0"/>
      <c r="P40" s="0"/>
      <c r="Q40" s="0"/>
      <c r="R40" s="0"/>
      <c r="S40" s="0"/>
      <c r="T40" s="0"/>
      <c r="U40" s="0"/>
      <c r="V40" s="0"/>
      <c r="W40" s="0"/>
    </row>
    <row r="41" customFormat="false" ht="13.8" hidden="false" customHeight="false" outlineLevel="0" collapsed="false">
      <c r="A41" s="93"/>
      <c r="B41" s="389" t="s">
        <v>200</v>
      </c>
      <c r="C41" s="153"/>
      <c r="D41" s="371"/>
      <c r="E41" s="153"/>
      <c r="F41" s="388"/>
      <c r="G41" s="153"/>
      <c r="H41" s="371"/>
      <c r="K41" s="0"/>
      <c r="L41" s="0"/>
      <c r="M41" s="0"/>
      <c r="N41" s="0"/>
      <c r="O41" s="0"/>
      <c r="P41" s="0"/>
      <c r="Q41" s="0"/>
      <c r="R41" s="0"/>
      <c r="S41" s="0"/>
      <c r="T41" s="0"/>
      <c r="U41" s="0"/>
      <c r="V41" s="0"/>
      <c r="W41" s="0"/>
    </row>
    <row r="42" customFormat="false" ht="13.8" hidden="false" customHeight="false" outlineLevel="0" collapsed="false">
      <c r="A42" s="93"/>
      <c r="B42" s="389" t="s">
        <v>201</v>
      </c>
      <c r="C42" s="153"/>
      <c r="D42" s="371"/>
      <c r="E42" s="153"/>
      <c r="F42" s="388"/>
      <c r="G42" s="153"/>
      <c r="H42" s="371"/>
      <c r="K42" s="0"/>
      <c r="L42" s="0"/>
      <c r="M42" s="0"/>
      <c r="N42" s="0"/>
      <c r="O42" s="0"/>
      <c r="P42" s="0"/>
      <c r="Q42" s="0"/>
      <c r="R42" s="0"/>
      <c r="S42" s="0"/>
      <c r="T42" s="0"/>
      <c r="U42" s="0"/>
      <c r="V42" s="0"/>
      <c r="W42" s="0"/>
    </row>
    <row r="43" s="93" customFormat="true" ht="18" hidden="false" customHeight="true" outlineLevel="0" collapsed="false">
      <c r="B43" s="390" t="s">
        <v>167</v>
      </c>
      <c r="C43" s="391" t="n">
        <f aca="false">SUM(C26:C42)</f>
        <v>0</v>
      </c>
      <c r="D43" s="392" t="n">
        <f aca="false">IF(C14=0,0,C43/C14)</f>
        <v>0</v>
      </c>
      <c r="E43" s="391" t="n">
        <f aca="false">SUM(E26:E42)</f>
        <v>0</v>
      </c>
      <c r="F43" s="392" t="n">
        <f aca="false">IF(E14=0,0,E43/E14)</f>
        <v>0</v>
      </c>
      <c r="G43" s="391" t="n">
        <f aca="false">SUM(G26:G42)</f>
        <v>0</v>
      </c>
      <c r="H43" s="392" t="n">
        <f aca="false">IF(G14=0,0,G43/G14)</f>
        <v>0</v>
      </c>
      <c r="K43" s="0"/>
      <c r="L43" s="0"/>
      <c r="M43" s="0"/>
      <c r="N43" s="0"/>
      <c r="O43" s="0"/>
      <c r="P43" s="0"/>
      <c r="Q43" s="0"/>
      <c r="R43" s="0"/>
      <c r="S43" s="0"/>
      <c r="T43" s="0"/>
      <c r="U43" s="0"/>
      <c r="V43" s="0"/>
      <c r="W43" s="0"/>
    </row>
    <row r="44" s="93" customFormat="true" ht="18" hidden="false" customHeight="true" outlineLevel="0" collapsed="false">
      <c r="B44" s="344" t="s">
        <v>202</v>
      </c>
      <c r="C44" s="393" t="n">
        <f aca="false">C23-C24-C43</f>
        <v>0</v>
      </c>
      <c r="D44" s="394" t="n">
        <f aca="false">IF(C14=0,0,C44/C14)</f>
        <v>0</v>
      </c>
      <c r="E44" s="393" t="n">
        <f aca="false">E23-E24-E43</f>
        <v>0</v>
      </c>
      <c r="F44" s="394" t="n">
        <f aca="false">IF(E14=0,0,E44/E14)</f>
        <v>0</v>
      </c>
      <c r="G44" s="393" t="n">
        <f aca="false">G23-G24-G43</f>
        <v>0</v>
      </c>
      <c r="H44" s="394" t="n">
        <f aca="false">IF(G14=0,0,G44/G14)</f>
        <v>0</v>
      </c>
      <c r="K44" s="0"/>
      <c r="L44" s="0"/>
      <c r="M44" s="0"/>
      <c r="N44" s="0"/>
      <c r="O44" s="0"/>
      <c r="P44" s="0"/>
      <c r="Q44" s="0"/>
      <c r="R44" s="0"/>
      <c r="S44" s="0"/>
      <c r="T44" s="0"/>
      <c r="U44" s="0"/>
      <c r="V44" s="0"/>
      <c r="W44" s="0"/>
    </row>
    <row r="45" s="93" customFormat="true" ht="18" hidden="false" customHeight="true" outlineLevel="0" collapsed="false">
      <c r="B45" s="395" t="s">
        <v>158</v>
      </c>
      <c r="C45" s="396"/>
      <c r="D45" s="397"/>
      <c r="E45" s="396"/>
      <c r="F45" s="398"/>
      <c r="G45" s="396"/>
      <c r="H45" s="397"/>
      <c r="K45" s="0"/>
      <c r="L45" s="0"/>
      <c r="M45" s="0"/>
      <c r="N45" s="0"/>
      <c r="O45" s="0"/>
      <c r="P45" s="0"/>
      <c r="Q45" s="0"/>
      <c r="R45" s="0"/>
      <c r="S45" s="0"/>
      <c r="T45" s="0"/>
      <c r="U45" s="0"/>
      <c r="V45" s="0"/>
      <c r="W45" s="0"/>
    </row>
    <row r="46" s="93" customFormat="true" ht="18" hidden="false" customHeight="true" outlineLevel="0" collapsed="false">
      <c r="B46" s="399" t="s">
        <v>203</v>
      </c>
      <c r="C46" s="400" t="n">
        <f aca="false">+'Amortization&amp;Depreciation'!O138+'Amortization&amp;Depreciation'!O149</f>
        <v>0</v>
      </c>
      <c r="D46" s="401"/>
      <c r="E46" s="400" t="n">
        <f aca="false">+'Amortization&amp;Depreciation'!O141+'Amortization&amp;Depreciation'!O152</f>
        <v>0</v>
      </c>
      <c r="F46" s="402"/>
      <c r="G46" s="400" t="n">
        <f aca="false">+'Amortization&amp;Depreciation'!O144+'Amortization&amp;Depreciation'!O155</f>
        <v>0</v>
      </c>
      <c r="H46" s="401"/>
      <c r="K46" s="0"/>
      <c r="L46" s="0"/>
      <c r="M46" s="0"/>
      <c r="N46" s="0"/>
      <c r="O46" s="0"/>
      <c r="P46" s="0"/>
      <c r="Q46" s="0"/>
      <c r="R46" s="0"/>
      <c r="S46" s="0"/>
      <c r="T46" s="0"/>
      <c r="U46" s="0"/>
      <c r="V46" s="0"/>
      <c r="W46" s="0"/>
    </row>
    <row r="47" s="93" customFormat="true" ht="18" hidden="false" customHeight="true" outlineLevel="0" collapsed="false">
      <c r="B47" s="403" t="s">
        <v>204</v>
      </c>
      <c r="C47" s="382" t="n">
        <f aca="false">+'Amortization&amp;Depreciation'!O119</f>
        <v>0</v>
      </c>
      <c r="D47" s="384"/>
      <c r="E47" s="382" t="n">
        <f aca="false">+'Amortization&amp;Depreciation'!O123</f>
        <v>0</v>
      </c>
      <c r="F47" s="383"/>
      <c r="G47" s="382" t="n">
        <f aca="false">+'Amortization&amp;Depreciation'!O127</f>
        <v>0</v>
      </c>
      <c r="H47" s="384"/>
      <c r="K47" s="0"/>
      <c r="L47" s="0"/>
      <c r="M47" s="0"/>
      <c r="N47" s="0"/>
      <c r="O47" s="0"/>
      <c r="P47" s="0"/>
      <c r="Q47" s="0"/>
      <c r="R47" s="0"/>
      <c r="S47" s="0"/>
      <c r="T47" s="0"/>
      <c r="U47" s="0"/>
      <c r="V47" s="0"/>
      <c r="W47" s="0"/>
    </row>
    <row r="48" s="93" customFormat="true" ht="18" hidden="false" customHeight="true" outlineLevel="0" collapsed="false">
      <c r="B48" s="403" t="s">
        <v>160</v>
      </c>
      <c r="C48" s="404"/>
      <c r="D48" s="384"/>
      <c r="E48" s="404"/>
      <c r="F48" s="383"/>
      <c r="G48" s="404"/>
      <c r="H48" s="384"/>
      <c r="K48" s="0"/>
      <c r="L48" s="0"/>
      <c r="M48" s="0"/>
      <c r="N48" s="0"/>
      <c r="O48" s="0"/>
      <c r="P48" s="0"/>
      <c r="Q48" s="0"/>
      <c r="R48" s="0"/>
      <c r="S48" s="0"/>
      <c r="T48" s="0"/>
      <c r="U48" s="0"/>
      <c r="V48" s="0"/>
      <c r="W48" s="0"/>
    </row>
    <row r="49" s="93" customFormat="true" ht="18" hidden="false" customHeight="true" outlineLevel="0" collapsed="false">
      <c r="B49" s="405" t="s">
        <v>46</v>
      </c>
      <c r="C49" s="382" t="n">
        <f aca="false">'5b-OpExYrs1-3'!C28</f>
        <v>0</v>
      </c>
      <c r="D49" s="384"/>
      <c r="E49" s="382" t="n">
        <f aca="false">'5b-OpExYrs1-3'!E28</f>
        <v>0</v>
      </c>
      <c r="F49" s="383"/>
      <c r="G49" s="382" t="n">
        <f aca="false">'5b-OpExYrs1-3'!G28</f>
        <v>0</v>
      </c>
      <c r="H49" s="384"/>
      <c r="K49" s="0"/>
      <c r="L49" s="0"/>
      <c r="M49" s="0"/>
      <c r="N49" s="0"/>
      <c r="O49" s="0"/>
      <c r="P49" s="0"/>
      <c r="Q49" s="0"/>
      <c r="R49" s="0"/>
      <c r="S49" s="0"/>
      <c r="T49" s="0"/>
      <c r="U49" s="0"/>
      <c r="V49" s="0"/>
      <c r="W49" s="0"/>
    </row>
    <row r="50" s="93" customFormat="true" ht="18" hidden="false" customHeight="true" outlineLevel="0" collapsed="false">
      <c r="B50" s="405" t="s">
        <v>47</v>
      </c>
      <c r="C50" s="382" t="n">
        <f aca="false">'5b-OpExYrs1-3'!C29</f>
        <v>0</v>
      </c>
      <c r="D50" s="384"/>
      <c r="E50" s="382" t="n">
        <f aca="false">'5b-OpExYrs1-3'!E29</f>
        <v>0</v>
      </c>
      <c r="F50" s="383"/>
      <c r="G50" s="382" t="n">
        <f aca="false">'5b-OpExYrs1-3'!G29</f>
        <v>0</v>
      </c>
      <c r="H50" s="384"/>
      <c r="K50" s="0"/>
      <c r="L50" s="0"/>
      <c r="M50" s="0"/>
      <c r="N50" s="0"/>
      <c r="O50" s="0"/>
      <c r="P50" s="0"/>
      <c r="Q50" s="0"/>
      <c r="R50" s="0"/>
      <c r="S50" s="0"/>
      <c r="T50" s="0"/>
      <c r="U50" s="0"/>
      <c r="V50" s="0"/>
      <c r="W50" s="0"/>
    </row>
    <row r="51" s="93" customFormat="true" ht="18" hidden="false" customHeight="true" outlineLevel="0" collapsed="false">
      <c r="B51" s="405" t="s">
        <v>49</v>
      </c>
      <c r="C51" s="382" t="n">
        <f aca="false">'5b-OpExYrs1-3'!C30</f>
        <v>0</v>
      </c>
      <c r="D51" s="384"/>
      <c r="E51" s="382" t="n">
        <f aca="false">'5b-OpExYrs1-3'!E30</f>
        <v>0</v>
      </c>
      <c r="F51" s="383"/>
      <c r="G51" s="382" t="n">
        <f aca="false">'5b-OpExYrs1-3'!G30</f>
        <v>0</v>
      </c>
      <c r="H51" s="384"/>
      <c r="K51" s="0"/>
      <c r="L51" s="0"/>
      <c r="M51" s="0"/>
      <c r="N51" s="0"/>
      <c r="O51" s="0"/>
      <c r="P51" s="0"/>
      <c r="Q51" s="0"/>
      <c r="R51" s="0"/>
      <c r="S51" s="0"/>
      <c r="T51" s="0"/>
      <c r="U51" s="0"/>
      <c r="V51" s="0"/>
      <c r="W51" s="0"/>
    </row>
    <row r="52" s="93" customFormat="true" ht="18" hidden="false" customHeight="true" outlineLevel="0" collapsed="false">
      <c r="B52" s="405" t="s">
        <v>50</v>
      </c>
      <c r="C52" s="382" t="n">
        <f aca="false">'5b-OpExYrs1-3'!C31</f>
        <v>0</v>
      </c>
      <c r="D52" s="384"/>
      <c r="E52" s="382" t="n">
        <f aca="false">'5b-OpExYrs1-3'!E31</f>
        <v>0</v>
      </c>
      <c r="F52" s="383"/>
      <c r="G52" s="382" t="n">
        <f aca="false">'5b-OpExYrs1-3'!G31</f>
        <v>0</v>
      </c>
      <c r="H52" s="384"/>
      <c r="K52" s="0"/>
      <c r="L52" s="0"/>
      <c r="M52" s="0"/>
      <c r="N52" s="0"/>
      <c r="O52" s="0"/>
      <c r="P52" s="0"/>
      <c r="Q52" s="0"/>
      <c r="R52" s="0"/>
      <c r="S52" s="0"/>
      <c r="T52" s="0"/>
      <c r="U52" s="0"/>
      <c r="V52" s="0"/>
      <c r="W52" s="0"/>
    </row>
    <row r="53" s="93" customFormat="true" ht="18" hidden="false" customHeight="true" outlineLevel="0" collapsed="false">
      <c r="B53" s="405" t="s">
        <v>51</v>
      </c>
      <c r="C53" s="382" t="n">
        <f aca="false">'5b-OpExYrs1-3'!C32</f>
        <v>0</v>
      </c>
      <c r="D53" s="384"/>
      <c r="E53" s="382" t="n">
        <f aca="false">'5b-OpExYrs1-3'!E32</f>
        <v>0</v>
      </c>
      <c r="F53" s="383"/>
      <c r="G53" s="382" t="n">
        <f aca="false">'5b-OpExYrs1-3'!G32</f>
        <v>0</v>
      </c>
      <c r="H53" s="384"/>
      <c r="K53" s="0"/>
      <c r="L53" s="0"/>
      <c r="M53" s="0"/>
      <c r="N53" s="0"/>
      <c r="O53" s="0"/>
      <c r="P53" s="0"/>
      <c r="Q53" s="0"/>
      <c r="R53" s="0"/>
      <c r="S53" s="0"/>
      <c r="T53" s="0"/>
      <c r="U53" s="0"/>
      <c r="V53" s="0"/>
      <c r="W53" s="0"/>
    </row>
    <row r="54" s="93" customFormat="true" ht="18" hidden="false" customHeight="true" outlineLevel="0" collapsed="false">
      <c r="B54" s="406" t="s">
        <v>205</v>
      </c>
      <c r="C54" s="382" t="n">
        <f aca="false">+'6a-CashFlowYear1'!O26</f>
        <v>0</v>
      </c>
      <c r="D54" s="384"/>
      <c r="E54" s="382" t="n">
        <f aca="false">'6b-CashFlowYrs1-3'!O25</f>
        <v>0</v>
      </c>
      <c r="F54" s="383"/>
      <c r="G54" s="382" t="n">
        <f aca="false">+'6b-CashFlowYrs1-3'!AB25</f>
        <v>0</v>
      </c>
      <c r="H54" s="384"/>
      <c r="K54" s="0"/>
      <c r="L54" s="0"/>
      <c r="M54" s="0"/>
      <c r="N54" s="0"/>
      <c r="O54" s="0"/>
      <c r="P54" s="0"/>
      <c r="Q54" s="0"/>
      <c r="R54" s="0"/>
      <c r="S54" s="0"/>
      <c r="T54" s="0"/>
      <c r="U54" s="0"/>
      <c r="V54" s="0"/>
      <c r="W54" s="0"/>
    </row>
    <row r="55" s="93" customFormat="true" ht="18" hidden="false" customHeight="true" outlineLevel="0" collapsed="false">
      <c r="B55" s="342" t="s">
        <v>162</v>
      </c>
      <c r="C55" s="382" t="n">
        <f aca="false">+'3a-SalesForecastYear1'!O53*'4-AdditionalInputs'!$C$12</f>
        <v>0</v>
      </c>
      <c r="D55" s="384"/>
      <c r="E55" s="382" t="n">
        <f aca="false">'3b-SalesForecastYrs1-3'!O47*'4-AdditionalInputs'!$D$12</f>
        <v>0</v>
      </c>
      <c r="F55" s="383"/>
      <c r="G55" s="382" t="n">
        <f aca="false">'3b-SalesForecastYrs1-3'!AD47*'4-AdditionalInputs'!$E$12</f>
        <v>0</v>
      </c>
      <c r="H55" s="384"/>
      <c r="K55" s="0"/>
      <c r="L55" s="0"/>
      <c r="M55" s="0"/>
      <c r="N55" s="0"/>
      <c r="O55" s="0"/>
      <c r="P55" s="0"/>
      <c r="Q55" s="0"/>
      <c r="R55" s="0"/>
      <c r="S55" s="0"/>
      <c r="T55" s="0"/>
      <c r="U55" s="0"/>
      <c r="V55" s="0"/>
      <c r="W55" s="0"/>
    </row>
    <row r="56" s="93" customFormat="true" ht="18" hidden="false" customHeight="true" outlineLevel="0" collapsed="false">
      <c r="B56" s="407" t="s">
        <v>163</v>
      </c>
      <c r="C56" s="292" t="n">
        <f aca="false">SUM(C46:C55)</f>
        <v>0</v>
      </c>
      <c r="D56" s="381" t="n">
        <f aca="false">IF(C14=0,0,C56/C14)</f>
        <v>0</v>
      </c>
      <c r="E56" s="292" t="n">
        <f aca="false">SUM(E46:E55)</f>
        <v>0</v>
      </c>
      <c r="F56" s="381" t="n">
        <f aca="false">IF(E14=0,0,E56/E14)</f>
        <v>0</v>
      </c>
      <c r="G56" s="292" t="n">
        <f aca="false">SUM(G46:G55)</f>
        <v>0</v>
      </c>
      <c r="H56" s="381" t="n">
        <f aca="false">IF(G14=0,0,G56/G14)</f>
        <v>0</v>
      </c>
      <c r="K56" s="0"/>
      <c r="L56" s="0"/>
      <c r="M56" s="0"/>
      <c r="N56" s="0"/>
      <c r="O56" s="0"/>
      <c r="P56" s="0"/>
      <c r="Q56" s="0"/>
      <c r="R56" s="0"/>
      <c r="S56" s="0"/>
      <c r="T56" s="0"/>
      <c r="U56" s="0"/>
      <c r="V56" s="0"/>
      <c r="W56" s="0"/>
    </row>
    <row r="57" s="93" customFormat="true" ht="18" hidden="false" customHeight="true" outlineLevel="0" collapsed="false">
      <c r="B57" s="321" t="s">
        <v>206</v>
      </c>
      <c r="C57" s="140" t="n">
        <f aca="false">C23-C24-C43-C56</f>
        <v>0</v>
      </c>
      <c r="D57" s="381"/>
      <c r="E57" s="140" t="n">
        <f aca="false">E23-E24-E43-E56</f>
        <v>0</v>
      </c>
      <c r="F57" s="381"/>
      <c r="G57" s="140" t="n">
        <f aca="false">G23-G24-G43-G56</f>
        <v>0</v>
      </c>
      <c r="H57" s="381"/>
      <c r="K57" s="0"/>
      <c r="L57" s="0"/>
      <c r="M57" s="0"/>
      <c r="N57" s="0"/>
      <c r="O57" s="0"/>
      <c r="P57" s="0"/>
      <c r="Q57" s="0"/>
      <c r="R57" s="0"/>
      <c r="S57" s="0"/>
      <c r="T57" s="0"/>
      <c r="U57" s="0"/>
      <c r="V57" s="0"/>
      <c r="W57" s="0"/>
    </row>
    <row r="58" s="93" customFormat="true" ht="13.8" hidden="false" customHeight="false" outlineLevel="0" collapsed="false">
      <c r="B58" s="120" t="s">
        <v>207</v>
      </c>
      <c r="C58" s="291" t="n">
        <f aca="false">+'7a-IncomeStatementYear1'!O59</f>
        <v>0</v>
      </c>
      <c r="D58" s="381"/>
      <c r="E58" s="291" t="n">
        <f aca="false">O65</f>
        <v>0</v>
      </c>
      <c r="F58" s="381"/>
      <c r="G58" s="291" t="n">
        <f aca="false">O69</f>
        <v>0</v>
      </c>
      <c r="H58" s="381"/>
      <c r="K58" s="0"/>
      <c r="L58" s="0"/>
      <c r="M58" s="0"/>
      <c r="N58" s="0"/>
      <c r="O58" s="0"/>
      <c r="P58" s="0"/>
      <c r="Q58" s="0"/>
      <c r="R58" s="0"/>
      <c r="S58" s="0"/>
      <c r="T58" s="0"/>
      <c r="U58" s="0"/>
      <c r="V58" s="0"/>
      <c r="W58" s="0"/>
    </row>
    <row r="59" s="93" customFormat="true" ht="13.8" hidden="false" customHeight="false" outlineLevel="0" collapsed="false">
      <c r="B59" s="375" t="s">
        <v>213</v>
      </c>
      <c r="C59" s="140" t="n">
        <f aca="false">C57-C58</f>
        <v>0</v>
      </c>
      <c r="D59" s="381" t="n">
        <f aca="false">IF(C14=0,0,C59/C14)</f>
        <v>0</v>
      </c>
      <c r="E59" s="140" t="n">
        <f aca="false">E57-E58</f>
        <v>0</v>
      </c>
      <c r="F59" s="381" t="n">
        <f aca="false">IF(E14=0,0,E59/E14)</f>
        <v>0</v>
      </c>
      <c r="G59" s="140" t="n">
        <f aca="false">G57-G58</f>
        <v>0</v>
      </c>
      <c r="H59" s="381" t="n">
        <f aca="false">IF(G14=0,0,G59/G14)</f>
        <v>0</v>
      </c>
      <c r="K59" s="0"/>
      <c r="L59" s="0"/>
      <c r="M59" s="0"/>
      <c r="N59" s="0"/>
      <c r="O59" s="0"/>
      <c r="P59" s="0"/>
      <c r="Q59" s="0"/>
      <c r="R59" s="0"/>
      <c r="S59" s="0"/>
      <c r="T59" s="0"/>
      <c r="U59" s="0"/>
      <c r="V59" s="0"/>
      <c r="W59" s="0"/>
    </row>
    <row r="60" s="93" customFormat="true" ht="13.8" hidden="false" customHeight="false" outlineLevel="0" collapsed="false">
      <c r="B60" s="95"/>
      <c r="C60" s="0"/>
      <c r="D60" s="0"/>
      <c r="E60" s="0"/>
      <c r="F60" s="0"/>
      <c r="G60" s="0"/>
      <c r="H60" s="0"/>
      <c r="K60" s="0"/>
      <c r="L60" s="0"/>
      <c r="M60" s="0"/>
      <c r="N60" s="0"/>
      <c r="O60" s="0"/>
      <c r="P60" s="0"/>
      <c r="Q60" s="331"/>
      <c r="R60" s="0"/>
      <c r="S60" s="0"/>
      <c r="T60" s="0"/>
      <c r="U60" s="0"/>
      <c r="V60" s="0"/>
      <c r="W60" s="0"/>
    </row>
    <row r="61" customFormat="false" ht="13.8" hidden="false" customHeight="false" outlineLevel="0" collapsed="false">
      <c r="A61" s="408"/>
      <c r="B61" s="349"/>
      <c r="C61" s="349"/>
      <c r="D61" s="409"/>
      <c r="E61" s="349"/>
      <c r="F61" s="410"/>
      <c r="G61" s="349"/>
      <c r="H61" s="409"/>
      <c r="I61" s="408"/>
      <c r="J61" s="408"/>
      <c r="K61" s="349"/>
      <c r="L61" s="349"/>
      <c r="M61" s="349"/>
      <c r="N61" s="349"/>
      <c r="O61" s="349"/>
      <c r="P61" s="349"/>
      <c r="Q61" s="331"/>
      <c r="R61" s="0"/>
      <c r="S61" s="0"/>
      <c r="T61" s="0"/>
      <c r="U61" s="0"/>
      <c r="V61" s="0"/>
      <c r="W61" s="0"/>
    </row>
    <row r="62" customFormat="false" ht="13.8" hidden="false" customHeight="false" outlineLevel="0" collapsed="false">
      <c r="A62" s="408"/>
      <c r="B62" s="411" t="s">
        <v>209</v>
      </c>
      <c r="C62" s="411" t="s">
        <v>214</v>
      </c>
      <c r="D62" s="412" t="s">
        <v>215</v>
      </c>
      <c r="E62" s="411" t="s">
        <v>216</v>
      </c>
      <c r="F62" s="412" t="s">
        <v>217</v>
      </c>
      <c r="G62" s="411" t="s">
        <v>218</v>
      </c>
      <c r="H62" s="412" t="s">
        <v>219</v>
      </c>
      <c r="I62" s="411" t="s">
        <v>220</v>
      </c>
      <c r="J62" s="412" t="s">
        <v>221</v>
      </c>
      <c r="K62" s="411" t="s">
        <v>222</v>
      </c>
      <c r="L62" s="412" t="s">
        <v>223</v>
      </c>
      <c r="M62" s="411" t="s">
        <v>224</v>
      </c>
      <c r="N62" s="412" t="s">
        <v>225</v>
      </c>
      <c r="O62" s="411" t="s">
        <v>226</v>
      </c>
      <c r="P62" s="349"/>
      <c r="Q62" s="331"/>
      <c r="R62" s="0"/>
      <c r="S62" s="0"/>
      <c r="T62" s="0"/>
      <c r="U62" s="0"/>
      <c r="V62" s="0"/>
      <c r="W62" s="0"/>
    </row>
    <row r="63" customFormat="false" ht="13.8" hidden="false" customHeight="false" outlineLevel="0" collapsed="false">
      <c r="A63" s="408"/>
      <c r="B63" s="413" t="s">
        <v>227</v>
      </c>
      <c r="C63" s="414" t="n">
        <f aca="false">'3b-SalesForecastYrs1-3'!C49-('2b-PayrollYrs1-3'!$E$26/12)-'6b-CashFlowYrs1-3'!C19-'Amortization&amp;Depreciation'!C123-'Amortization&amp;Depreciation'!C39-'Amortization&amp;Depreciation'!C19-'6b-CashFlowYrs1-3'!C25</f>
        <v>0</v>
      </c>
      <c r="D63" s="414" t="n">
        <f aca="false">'3b-SalesForecastYrs1-3'!D49-('2b-PayrollYrs1-3'!$E$26/12)-'6b-CashFlowYrs1-3'!D19-'Amortization&amp;Depreciation'!D123-'Amortization&amp;Depreciation'!D39-'Amortization&amp;Depreciation'!D19-'6b-CashFlowYrs1-3'!D25</f>
        <v>0</v>
      </c>
      <c r="E63" s="414" t="n">
        <f aca="false">'3b-SalesForecastYrs1-3'!E49-('2b-PayrollYrs1-3'!$E$26/12)-'6b-CashFlowYrs1-3'!E19-'Amortization&amp;Depreciation'!E123-'Amortization&amp;Depreciation'!E39-'Amortization&amp;Depreciation'!E19-'6b-CashFlowYrs1-3'!E25</f>
        <v>0</v>
      </c>
      <c r="F63" s="414" t="n">
        <f aca="false">'3b-SalesForecastYrs1-3'!F49-('2b-PayrollYrs1-3'!$E$26/12)-'6b-CashFlowYrs1-3'!F19-'Amortization&amp;Depreciation'!F123-'Amortization&amp;Depreciation'!F39-'Amortization&amp;Depreciation'!F19-'6b-CashFlowYrs1-3'!F25</f>
        <v>0</v>
      </c>
      <c r="G63" s="414" t="n">
        <f aca="false">'3b-SalesForecastYrs1-3'!G49-('2b-PayrollYrs1-3'!$E$26/12)-'6b-CashFlowYrs1-3'!G19-'Amortization&amp;Depreciation'!G123-'Amortization&amp;Depreciation'!G39-'Amortization&amp;Depreciation'!G19-'6b-CashFlowYrs1-3'!G25</f>
        <v>0</v>
      </c>
      <c r="H63" s="414" t="n">
        <f aca="false">'3b-SalesForecastYrs1-3'!H49-('2b-PayrollYrs1-3'!$E$26/12)-'6b-CashFlowYrs1-3'!H19-'Amortization&amp;Depreciation'!H123-'Amortization&amp;Depreciation'!H39-'Amortization&amp;Depreciation'!H19-'6b-CashFlowYrs1-3'!H25</f>
        <v>0</v>
      </c>
      <c r="I63" s="414" t="n">
        <f aca="false">'3b-SalesForecastYrs1-3'!I49-('2b-PayrollYrs1-3'!$E$26/12)-'6b-CashFlowYrs1-3'!I19-'Amortization&amp;Depreciation'!I123-'Amortization&amp;Depreciation'!I39-'Amortization&amp;Depreciation'!I19-'6b-CashFlowYrs1-3'!I25</f>
        <v>0</v>
      </c>
      <c r="J63" s="414" t="n">
        <f aca="false">'3b-SalesForecastYrs1-3'!J49-('2b-PayrollYrs1-3'!$E$26/12)-'6b-CashFlowYrs1-3'!J19-'Amortization&amp;Depreciation'!J123-'Amortization&amp;Depreciation'!J39-'Amortization&amp;Depreciation'!J19-'6b-CashFlowYrs1-3'!J25</f>
        <v>0</v>
      </c>
      <c r="K63" s="414" t="n">
        <f aca="false">'3b-SalesForecastYrs1-3'!K49-('2b-PayrollYrs1-3'!$E$26/12)-'6b-CashFlowYrs1-3'!K19-'Amortization&amp;Depreciation'!K123-'Amortization&amp;Depreciation'!K39-'Amortization&amp;Depreciation'!K19-'6b-CashFlowYrs1-3'!K25</f>
        <v>0</v>
      </c>
      <c r="L63" s="414" t="n">
        <f aca="false">'3b-SalesForecastYrs1-3'!L49-('2b-PayrollYrs1-3'!$E$26/12)-'6b-CashFlowYrs1-3'!L19-'Amortization&amp;Depreciation'!L123-'Amortization&amp;Depreciation'!L39-'Amortization&amp;Depreciation'!L19-'6b-CashFlowYrs1-3'!L25</f>
        <v>0</v>
      </c>
      <c r="M63" s="414" t="n">
        <f aca="false">'3b-SalesForecastYrs1-3'!M49-('2b-PayrollYrs1-3'!$E$26/12)-'6b-CashFlowYrs1-3'!M19-'Amortization&amp;Depreciation'!M123-'Amortization&amp;Depreciation'!M39-'Amortization&amp;Depreciation'!M19-'6b-CashFlowYrs1-3'!M25</f>
        <v>0</v>
      </c>
      <c r="N63" s="414" t="n">
        <f aca="false">'3b-SalesForecastYrs1-3'!N49-('2b-PayrollYrs1-3'!$E$26/12)-'6b-CashFlowYrs1-3'!N19-'Amortization&amp;Depreciation'!N123-'Amortization&amp;Depreciation'!N39-'Amortization&amp;Depreciation'!N19-'6b-CashFlowYrs1-3'!N25</f>
        <v>0</v>
      </c>
      <c r="O63" s="414" t="n">
        <f aca="false">SUM(C63:N63)</f>
        <v>0</v>
      </c>
      <c r="P63" s="349"/>
      <c r="Q63" s="331"/>
      <c r="R63" s="0"/>
      <c r="S63" s="0"/>
      <c r="T63" s="0"/>
      <c r="U63" s="0"/>
      <c r="V63" s="0"/>
      <c r="W63" s="0"/>
    </row>
    <row r="64" customFormat="false" ht="13.8" hidden="false" customHeight="false" outlineLevel="0" collapsed="false">
      <c r="A64" s="408"/>
      <c r="B64" s="413" t="s">
        <v>226</v>
      </c>
      <c r="C64" s="414" t="n">
        <f aca="false">C63</f>
        <v>0</v>
      </c>
      <c r="D64" s="414" t="n">
        <f aca="false">D63+C64</f>
        <v>0</v>
      </c>
      <c r="E64" s="414" t="n">
        <f aca="false">E63+D64</f>
        <v>0</v>
      </c>
      <c r="F64" s="414" t="n">
        <f aca="false">F63+E64</f>
        <v>0</v>
      </c>
      <c r="G64" s="414" t="n">
        <f aca="false">G63+F64</f>
        <v>0</v>
      </c>
      <c r="H64" s="414" t="n">
        <f aca="false">H63+G64</f>
        <v>0</v>
      </c>
      <c r="I64" s="414" t="n">
        <f aca="false">I63+H64</f>
        <v>0</v>
      </c>
      <c r="J64" s="414" t="n">
        <f aca="false">J63+I64</f>
        <v>0</v>
      </c>
      <c r="K64" s="414" t="n">
        <f aca="false">K63+J64</f>
        <v>0</v>
      </c>
      <c r="L64" s="414" t="n">
        <f aca="false">L63+K64</f>
        <v>0</v>
      </c>
      <c r="M64" s="414" t="n">
        <f aca="false">M63+L64</f>
        <v>0</v>
      </c>
      <c r="N64" s="414" t="n">
        <f aca="false">N63+M64</f>
        <v>0</v>
      </c>
      <c r="O64" s="414" t="n">
        <f aca="false">SUM(C64:N64)</f>
        <v>0</v>
      </c>
      <c r="P64" s="349"/>
      <c r="Q64" s="331"/>
      <c r="R64" s="0"/>
      <c r="S64" s="0"/>
      <c r="T64" s="0"/>
      <c r="U64" s="0"/>
      <c r="V64" s="0"/>
      <c r="W64" s="0"/>
    </row>
    <row r="65" customFormat="false" ht="13.8" hidden="false" customHeight="false" outlineLevel="0" collapsed="false">
      <c r="A65" s="408"/>
      <c r="B65" s="413" t="s">
        <v>228</v>
      </c>
      <c r="C65" s="414" t="n">
        <f aca="false">IF(C64&gt;0,C63*'4-AdditionalInputs'!$C$40, 0)</f>
        <v>0</v>
      </c>
      <c r="D65" s="415" t="n">
        <f aca="false">IF(D64&gt;0,IF(C64&lt;0,(D63-ABS(C64))*'4-AdditionalInputs'!$C$40,D63*'4-AdditionalInputs'!$C$40),IF(C64&gt;0,-(C64*'4-AdditionalInputs'!$C$40),0))</f>
        <v>0</v>
      </c>
      <c r="E65" s="415" t="n">
        <f aca="false">IF(E64&gt;0,IF(D64&lt;0,(E63-ABS(D64))*'4-AdditionalInputs'!$C$40,E63*'4-AdditionalInputs'!$C$40),IF(D64&gt;0,-(D64*'4-AdditionalInputs'!$C$40),0))</f>
        <v>0</v>
      </c>
      <c r="F65" s="415" t="n">
        <f aca="false">IF(F64&gt;0,IF(E64&lt;0,(F63-ABS(E64))*'4-AdditionalInputs'!$C$40,F63*'4-AdditionalInputs'!$C$40),IF(E64&gt;0,-(E64*'4-AdditionalInputs'!$C$40),0))</f>
        <v>0</v>
      </c>
      <c r="G65" s="415" t="n">
        <f aca="false">IF(G64&gt;0,IF(F64&lt;0,(G63-ABS(F64))*'4-AdditionalInputs'!$C$40,G63*'4-AdditionalInputs'!$C$40),IF(F64&gt;0,-(F64*'4-AdditionalInputs'!$C$40),0))</f>
        <v>0</v>
      </c>
      <c r="H65" s="415" t="n">
        <f aca="false">IF(H64&gt;0,IF(G64&lt;0,(H63-ABS(G64))*'4-AdditionalInputs'!$C$40,H63*'4-AdditionalInputs'!$C$40),IF(G64&gt;0,-(G64*'4-AdditionalInputs'!$C$40),0))</f>
        <v>0</v>
      </c>
      <c r="I65" s="415" t="n">
        <f aca="false">IF(I64&gt;0,IF(H64&lt;0,(I63-ABS(H64))*'4-AdditionalInputs'!$C$40,I63*'4-AdditionalInputs'!$C$40),IF(H64&gt;0,-(H64*'4-AdditionalInputs'!$C$40),0))</f>
        <v>0</v>
      </c>
      <c r="J65" s="415" t="n">
        <f aca="false">IF(J64&gt;0,IF(I64&lt;0,(J63-ABS(I64))*'4-AdditionalInputs'!$C$40,J63*'4-AdditionalInputs'!$C$40),IF(I64&gt;0,-(I64*'4-AdditionalInputs'!$C$40),0))</f>
        <v>0</v>
      </c>
      <c r="K65" s="415" t="n">
        <f aca="false">IF(K64&gt;0,IF(J64&lt;0,(K63-ABS(J64))*'4-AdditionalInputs'!$C$40,K63*'4-AdditionalInputs'!$C$40),IF(J64&gt;0,-(J64*'4-AdditionalInputs'!$C$40),0))</f>
        <v>0</v>
      </c>
      <c r="L65" s="415" t="n">
        <f aca="false">IF(L64&gt;0,IF(K64&lt;0,(L63-ABS(K64))*'4-AdditionalInputs'!$C$40,L63*'4-AdditionalInputs'!$C$40),IF(K64&gt;0,-(K64*'4-AdditionalInputs'!$C$40),0))</f>
        <v>0</v>
      </c>
      <c r="M65" s="415" t="n">
        <f aca="false">IF(M64&gt;0,IF(L64&lt;0,(M63-ABS(L64))*'4-AdditionalInputs'!$C$40,M63*'4-AdditionalInputs'!$C$40),IF(L64&gt;0,-(L64*'4-AdditionalInputs'!$C$40),0))</f>
        <v>0</v>
      </c>
      <c r="N65" s="415" t="n">
        <f aca="false">IF(N64&gt;0,IF(M64&lt;0,(N63-ABS(M64))*'4-AdditionalInputs'!$C$40,N63*'4-AdditionalInputs'!$C$40),IF(M64&gt;0,-(M64*'4-AdditionalInputs'!$C$40),0))</f>
        <v>0</v>
      </c>
      <c r="O65" s="415" t="n">
        <f aca="false">SUM(C65:N65)</f>
        <v>0</v>
      </c>
      <c r="P65" s="349"/>
      <c r="Q65" s="331"/>
      <c r="R65" s="0"/>
      <c r="S65" s="0"/>
      <c r="T65" s="0"/>
      <c r="U65" s="0"/>
      <c r="V65" s="0"/>
      <c r="W65" s="0"/>
    </row>
    <row r="66" customFormat="false" ht="13.8" hidden="false" customHeight="false" outlineLevel="0" collapsed="false">
      <c r="A66" s="408"/>
      <c r="B66" s="349"/>
      <c r="C66" s="349"/>
      <c r="D66" s="409"/>
      <c r="E66" s="349"/>
      <c r="F66" s="410"/>
      <c r="G66" s="349"/>
      <c r="H66" s="409"/>
      <c r="I66" s="408"/>
      <c r="J66" s="408"/>
      <c r="K66" s="349"/>
      <c r="L66" s="349"/>
      <c r="M66" s="349"/>
      <c r="N66" s="349"/>
      <c r="O66" s="349"/>
      <c r="P66" s="349"/>
      <c r="Q66" s="331"/>
      <c r="R66" s="331"/>
      <c r="S66" s="331"/>
      <c r="T66" s="0"/>
      <c r="U66" s="0"/>
      <c r="V66" s="0"/>
      <c r="W66" s="0"/>
    </row>
    <row r="67" customFormat="false" ht="13.8" hidden="false" customHeight="false" outlineLevel="0" collapsed="false">
      <c r="A67" s="408"/>
      <c r="B67" s="413" t="s">
        <v>229</v>
      </c>
      <c r="C67" s="414" t="n">
        <f aca="false">('3b-SalesForecastYrs1-3'!R49-('2b-PayrollYrs1-3'!$G$26/12)-'6b-CashFlowYrs1-3'!P19)-'Amortization&amp;Depreciation'!C127-'Amortization&amp;Depreciation'!C43-'Amortization&amp;Depreciation'!C23-'6b-CashFlowYrs1-3'!P25</f>
        <v>0</v>
      </c>
      <c r="D67" s="414" t="n">
        <f aca="false">('3b-SalesForecastYrs1-3'!S49-('2b-PayrollYrs1-3'!$G$26/12)-'6b-CashFlowYrs1-3'!Q19)-'Amortization&amp;Depreciation'!D127-'Amortization&amp;Depreciation'!D43-'Amortization&amp;Depreciation'!D23-'6b-CashFlowYrs1-3'!Q25</f>
        <v>0</v>
      </c>
      <c r="E67" s="414" t="n">
        <f aca="false">('3b-SalesForecastYrs1-3'!T49-('2b-PayrollYrs1-3'!$G$26/12)-'6b-CashFlowYrs1-3'!R19)-'Amortization&amp;Depreciation'!E127-'Amortization&amp;Depreciation'!E43-'Amortization&amp;Depreciation'!E23-'6b-CashFlowYrs1-3'!R25</f>
        <v>0</v>
      </c>
      <c r="F67" s="414" t="n">
        <f aca="false">('3b-SalesForecastYrs1-3'!U49-('2b-PayrollYrs1-3'!$G$26/12)-'6b-CashFlowYrs1-3'!S19)-'Amortization&amp;Depreciation'!F127-'Amortization&amp;Depreciation'!F43-'Amortization&amp;Depreciation'!F23-'6b-CashFlowYrs1-3'!S25</f>
        <v>0</v>
      </c>
      <c r="G67" s="414" t="n">
        <f aca="false">('3b-SalesForecastYrs1-3'!V49-('2b-PayrollYrs1-3'!$G$26/12)-'6b-CashFlowYrs1-3'!T19)-'Amortization&amp;Depreciation'!G127-'Amortization&amp;Depreciation'!G43-'Amortization&amp;Depreciation'!G23-'6b-CashFlowYrs1-3'!T25</f>
        <v>0</v>
      </c>
      <c r="H67" s="414" t="n">
        <f aca="false">('3b-SalesForecastYrs1-3'!W49-('2b-PayrollYrs1-3'!$G$26/12)-'6b-CashFlowYrs1-3'!U19)-'Amortization&amp;Depreciation'!H127-'Amortization&amp;Depreciation'!H43-'Amortization&amp;Depreciation'!H23-'6b-CashFlowYrs1-3'!U25</f>
        <v>0</v>
      </c>
      <c r="I67" s="414" t="n">
        <f aca="false">('3b-SalesForecastYrs1-3'!X49-('2b-PayrollYrs1-3'!$G$26/12)-'6b-CashFlowYrs1-3'!V19)-'Amortization&amp;Depreciation'!I127-'Amortization&amp;Depreciation'!I43-'Amortization&amp;Depreciation'!I23-'6b-CashFlowYrs1-3'!V25</f>
        <v>0</v>
      </c>
      <c r="J67" s="414" t="n">
        <f aca="false">('3b-SalesForecastYrs1-3'!Y49-('2b-PayrollYrs1-3'!$G$26/12)-'6b-CashFlowYrs1-3'!W19)-'Amortization&amp;Depreciation'!J127-'Amortization&amp;Depreciation'!J43-'Amortization&amp;Depreciation'!J23-'6b-CashFlowYrs1-3'!W25</f>
        <v>0</v>
      </c>
      <c r="K67" s="414" t="n">
        <f aca="false">('3b-SalesForecastYrs1-3'!Z49-('2b-PayrollYrs1-3'!$G$26/12)-'6b-CashFlowYrs1-3'!X19)-'Amortization&amp;Depreciation'!K127-'Amortization&amp;Depreciation'!K43-'Amortization&amp;Depreciation'!K23-'6b-CashFlowYrs1-3'!X25</f>
        <v>0</v>
      </c>
      <c r="L67" s="414" t="n">
        <f aca="false">('3b-SalesForecastYrs1-3'!AA49-('2b-PayrollYrs1-3'!$G$26/12)-'6b-CashFlowYrs1-3'!Y19)-'Amortization&amp;Depreciation'!L127-'Amortization&amp;Depreciation'!L43-'Amortization&amp;Depreciation'!L23-'6b-CashFlowYrs1-3'!Y25</f>
        <v>0</v>
      </c>
      <c r="M67" s="414" t="n">
        <f aca="false">('3b-SalesForecastYrs1-3'!AB49-('2b-PayrollYrs1-3'!$G$26/12)-'6b-CashFlowYrs1-3'!Z19)-'Amortization&amp;Depreciation'!M127-'Amortization&amp;Depreciation'!M43-'Amortization&amp;Depreciation'!M23-'6b-CashFlowYrs1-3'!Z25</f>
        <v>0</v>
      </c>
      <c r="N67" s="414" t="n">
        <f aca="false">('3b-SalesForecastYrs1-3'!AC49-('2b-PayrollYrs1-3'!$G$26/12)-'6b-CashFlowYrs1-3'!AA19)-'Amortization&amp;Depreciation'!N127-'Amortization&amp;Depreciation'!N43-'Amortization&amp;Depreciation'!N23-'6b-CashFlowYrs1-3'!AA25</f>
        <v>0</v>
      </c>
      <c r="O67" s="414" t="n">
        <f aca="false">SUM(C67:N67)</f>
        <v>0</v>
      </c>
      <c r="P67" s="349"/>
      <c r="Q67" s="331"/>
      <c r="R67" s="331"/>
      <c r="S67" s="331"/>
      <c r="T67" s="0"/>
      <c r="U67" s="0"/>
      <c r="V67" s="0"/>
      <c r="W67" s="0"/>
    </row>
    <row r="68" customFormat="false" ht="13.8" hidden="false" customHeight="false" outlineLevel="0" collapsed="false">
      <c r="A68" s="408"/>
      <c r="B68" s="413" t="s">
        <v>226</v>
      </c>
      <c r="C68" s="414" t="n">
        <f aca="false">C67</f>
        <v>0</v>
      </c>
      <c r="D68" s="414" t="n">
        <f aca="false">D67+C68</f>
        <v>0</v>
      </c>
      <c r="E68" s="414" t="n">
        <f aca="false">E67+D68</f>
        <v>0</v>
      </c>
      <c r="F68" s="414" t="n">
        <f aca="false">F67+E68</f>
        <v>0</v>
      </c>
      <c r="G68" s="414" t="n">
        <f aca="false">G67+F68</f>
        <v>0</v>
      </c>
      <c r="H68" s="414" t="n">
        <f aca="false">H67+G68</f>
        <v>0</v>
      </c>
      <c r="I68" s="414" t="n">
        <f aca="false">I67+H68</f>
        <v>0</v>
      </c>
      <c r="J68" s="414" t="n">
        <f aca="false">J67+I68</f>
        <v>0</v>
      </c>
      <c r="K68" s="414" t="n">
        <f aca="false">K67+J68</f>
        <v>0</v>
      </c>
      <c r="L68" s="414" t="n">
        <f aca="false">L67+K68</f>
        <v>0</v>
      </c>
      <c r="M68" s="414" t="n">
        <f aca="false">M67+L68</f>
        <v>0</v>
      </c>
      <c r="N68" s="414" t="n">
        <f aca="false">N67+M68</f>
        <v>0</v>
      </c>
      <c r="O68" s="414" t="n">
        <f aca="false">SUM(C68:N68)</f>
        <v>0</v>
      </c>
      <c r="P68" s="349"/>
      <c r="Q68" s="331"/>
      <c r="R68" s="331"/>
      <c r="S68" s="331"/>
      <c r="T68" s="0"/>
      <c r="U68" s="0"/>
      <c r="V68" s="0"/>
      <c r="W68" s="0"/>
    </row>
    <row r="69" customFormat="false" ht="13.8" hidden="false" customHeight="false" outlineLevel="0" collapsed="false">
      <c r="A69" s="408"/>
      <c r="B69" s="351" t="s">
        <v>228</v>
      </c>
      <c r="C69" s="414" t="n">
        <f aca="false">IF(C68&gt;0,C67*'4-AdditionalInputs'!$C$40, 0)</f>
        <v>0</v>
      </c>
      <c r="D69" s="415" t="n">
        <f aca="false">IF(D68&gt;0,IF(C68&lt;0,(D67-ABS(C68))*'4-AdditionalInputs'!$C$40,D67*'4-AdditionalInputs'!$C$40),IF(C68&gt;0,C68*'4-AdditionalInputs'!$C$40,0))</f>
        <v>0</v>
      </c>
      <c r="E69" s="415" t="n">
        <f aca="false">IF(E68&gt;0,IF(D68&lt;0,(E67-ABS(D68))*'4-AdditionalInputs'!$C$40,E67*'4-AdditionalInputs'!$C$40),IF(D68&gt;0,D68*'4-AdditionalInputs'!$C$40,0))</f>
        <v>0</v>
      </c>
      <c r="F69" s="415" t="n">
        <f aca="false">IF(F68&gt;0,IF(E68&lt;0,(F67-ABS(E68))*'4-AdditionalInputs'!$C$40,F67*'4-AdditionalInputs'!$C$40),IF(E68&gt;0,E68*'4-AdditionalInputs'!$C$40,0))</f>
        <v>0</v>
      </c>
      <c r="G69" s="415" t="n">
        <f aca="false">IF(G68&gt;0,IF(F68&lt;0,(G67-ABS(F68))*'4-AdditionalInputs'!$C$40,G67*'4-AdditionalInputs'!$C$40),IF(F68&gt;0,F68*'4-AdditionalInputs'!$C$40,0))</f>
        <v>0</v>
      </c>
      <c r="H69" s="415" t="n">
        <f aca="false">IF(H68&gt;0,IF(G68&lt;0,(H67-ABS(G68))*'4-AdditionalInputs'!$C$40,H67*'4-AdditionalInputs'!$C$40),IF(G68&gt;0,G68*'4-AdditionalInputs'!$C$40,0))</f>
        <v>0</v>
      </c>
      <c r="I69" s="415" t="n">
        <f aca="false">IF(I68&gt;0,IF(H68&lt;0,(I67-ABS(H68))*'4-AdditionalInputs'!$C$40,I67*'4-AdditionalInputs'!$C$40),IF(H68&gt;0,H68*'4-AdditionalInputs'!$C$40,0))</f>
        <v>0</v>
      </c>
      <c r="J69" s="415" t="n">
        <f aca="false">IF(J68&gt;0,IF(I68&lt;0,(J67-ABS(I68))*'4-AdditionalInputs'!$C$40,J67*'4-AdditionalInputs'!$C$40),IF(I68&gt;0,I68*'4-AdditionalInputs'!$C$40,0))</f>
        <v>0</v>
      </c>
      <c r="K69" s="415" t="n">
        <f aca="false">IF(K68&gt;0,IF(J68&lt;0,(K67-ABS(J68))*'4-AdditionalInputs'!$C$40,K67*'4-AdditionalInputs'!$C$40),IF(J68&gt;0,J68*'4-AdditionalInputs'!$C$40,0))</f>
        <v>0</v>
      </c>
      <c r="L69" s="415" t="n">
        <f aca="false">IF(L68&gt;0,IF(K68&lt;0,(L67-ABS(K68))*'4-AdditionalInputs'!$C$40,L67*'4-AdditionalInputs'!$C$40),IF(K68&gt;0,K68*'4-AdditionalInputs'!$C$40,0))</f>
        <v>0</v>
      </c>
      <c r="M69" s="415" t="n">
        <f aca="false">IF(M68&gt;0,IF(L68&lt;0,(M67-ABS(L68))*'4-AdditionalInputs'!$C$40,M67*'4-AdditionalInputs'!$C$40),IF(L68&gt;0,L68*'4-AdditionalInputs'!$C$40,0))</f>
        <v>0</v>
      </c>
      <c r="N69" s="415" t="n">
        <f aca="false">IF(N68&gt;0,IF(M68&lt;0,(N67-ABS(M68))*'4-AdditionalInputs'!$C$40,N67*'4-AdditionalInputs'!$C$40),IF(M68&gt;0,M68*'4-AdditionalInputs'!$C$40,0))</f>
        <v>0</v>
      </c>
      <c r="O69" s="414" t="n">
        <f aca="false">SUM(C69:N69)</f>
        <v>0</v>
      </c>
      <c r="P69" s="349"/>
      <c r="Q69" s="331"/>
      <c r="R69" s="331"/>
      <c r="S69" s="331"/>
      <c r="T69" s="0"/>
      <c r="U69" s="0"/>
      <c r="V69" s="0"/>
      <c r="W69" s="0"/>
    </row>
  </sheetData>
  <sheetProtection sheet="true" password="cc3d" objects="true" scenarios="true" formatColumns="false" formatRows="false"/>
  <mergeCells count="2">
    <mergeCell ref="B2:C2"/>
    <mergeCell ref="I2:K3"/>
  </mergeCells>
  <conditionalFormatting sqref="C14:H15,C9:D9,C25:H42,C10:C13,F9,H9">
    <cfRule type="expression" priority="2" aboveAverage="0" equalAverage="0" bottom="0" percent="0" rank="0" text="" dxfId="0">
      <formula>ISERROR(C9)</formula>
    </cfRule>
  </conditionalFormatting>
  <conditionalFormatting sqref="C58,E58,G58">
    <cfRule type="expression" priority="3" aboveAverage="0" equalAverage="0" bottom="0" percent="0" rank="0" text="" dxfId="1">
      <formula>LEN(TRIM(C58))=0</formula>
    </cfRule>
  </conditionalFormatting>
  <conditionalFormatting sqref="C17:C21">
    <cfRule type="expression" priority="4" aboveAverage="0" equalAverage="0" bottom="0" percent="0" rank="0" text="" dxfId="2">
      <formula>ISERROR(C17)</formula>
    </cfRule>
  </conditionalFormatting>
  <conditionalFormatting sqref="E9:E13">
    <cfRule type="expression" priority="5" aboveAverage="0" equalAverage="0" bottom="0" percent="0" rank="0" text="" dxfId="3">
      <formula>ISERROR(E9)</formula>
    </cfRule>
  </conditionalFormatting>
  <conditionalFormatting sqref="G9:G13">
    <cfRule type="expression" priority="6" aboveAverage="0" equalAverage="0" bottom="0" percent="0" rank="0" text="" dxfId="4">
      <formula>ISERROR(G9)</formula>
    </cfRule>
  </conditionalFormatting>
  <conditionalFormatting sqref="E17:E21">
    <cfRule type="expression" priority="7" aboveAverage="0" equalAverage="0" bottom="0" percent="0" rank="0" text="" dxfId="5">
      <formula>ISERROR(E17)</formula>
    </cfRule>
  </conditionalFormatting>
  <conditionalFormatting sqref="G17:G21">
    <cfRule type="expression" priority="8" aboveAverage="0" equalAverage="0" bottom="0" percent="0" rank="0" text="" dxfId="6">
      <formula>ISERROR(G17)</formula>
    </cfRule>
  </conditionalFormatting>
  <printOptions headings="false" gridLines="false" gridLinesSet="true" horizontalCentered="true" verticalCentered="true"/>
  <pageMargins left="0.7" right="0.7"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MT,Regular"&amp;12Income Statement Years 1-3</oddHeader>
    <oddFooter>&amp;L&amp;"Gill Sans MT,Regular"&amp;12&amp;F&amp;C&amp;"Gill Sans MT,Regular"&amp;12&amp;A&amp;R&amp;"Gill Sans MT,Regular"&amp;12&amp;D &amp;T</oddFooter>
  </headerFooter>
</worksheet>
</file>

<file path=xl/worksheets/sheet14.xml><?xml version="1.0" encoding="utf-8"?>
<worksheet xmlns="http://schemas.openxmlformats.org/spreadsheetml/2006/main" xmlns:r="http://schemas.openxmlformats.org/officeDocument/2006/relationships">
  <sheetPr filterMode="false">
    <pageSetUpPr fitToPage="true"/>
  </sheetPr>
  <dimension ref="1:46"/>
  <sheetViews>
    <sheetView windowProtection="false" showFormulas="false" showGridLines="true" showRowColHeaders="true" showZeros="true" rightToLeft="false" tabSelected="false" showOutlineSymbols="true" defaultGridColor="true" view="normal" topLeftCell="A22" colorId="64" zoomScale="80" zoomScaleNormal="80" zoomScalePageLayoutView="100" workbookViewId="0">
      <selection pane="topLeft" activeCell="F41" activeCellId="0" sqref="F41"/>
    </sheetView>
  </sheetViews>
  <sheetFormatPr defaultRowHeight="13.8"/>
  <cols>
    <col collapsed="false" hidden="false" max="2" min="1" style="95" width="3.88663967611336"/>
    <col collapsed="false" hidden="false" max="3" min="3" style="93" width="41.663967611336"/>
    <col collapsed="false" hidden="false" max="4" min="4" style="93" width="14.9959514170041"/>
    <col collapsed="false" hidden="false" max="6" min="5" style="93" width="16.6599190283401"/>
    <col collapsed="false" hidden="false" max="9" min="7" style="95" width="8.88259109311741"/>
    <col collapsed="false" hidden="false" max="1025" min="10" style="93" width="8.88259109311741"/>
  </cols>
  <sheetData>
    <row r="1" s="95" customFormat="true" ht="13.8" hidden="false" customHeight="false" outlineLevel="0" collapsed="false"/>
    <row r="2" customFormat="false" ht="13.8" hidden="false" customHeight="false" outlineLevel="0" collapsed="false">
      <c r="A2" s="93"/>
      <c r="B2" s="93"/>
      <c r="C2" s="100" t="s">
        <v>230</v>
      </c>
      <c r="D2" s="98"/>
      <c r="E2" s="95"/>
      <c r="F2" s="239"/>
      <c r="G2" s="93"/>
      <c r="H2" s="93"/>
      <c r="I2" s="93"/>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93"/>
      <c r="B3" s="93"/>
      <c r="C3" s="98"/>
      <c r="D3" s="98"/>
      <c r="E3" s="95"/>
      <c r="F3" s="239"/>
      <c r="G3" s="93"/>
      <c r="H3" s="93"/>
      <c r="I3" s="93"/>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7.25" hidden="false" customHeight="true" outlineLevel="0" collapsed="false">
      <c r="A4" s="93"/>
      <c r="B4" s="93"/>
      <c r="C4" s="100" t="s">
        <v>8</v>
      </c>
      <c r="D4" s="100" t="s">
        <v>9</v>
      </c>
      <c r="E4" s="95"/>
      <c r="F4" s="239"/>
      <c r="G4" s="93"/>
      <c r="H4" s="93"/>
      <c r="I4" s="93"/>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93"/>
      <c r="B5" s="93"/>
      <c r="C5" s="142" t="str">
        <f aca="false">IF(ISBLANK(Directions!C6), "Owner", Directions!C6)</f>
        <v>Owner</v>
      </c>
      <c r="D5" s="142" t="str">
        <f aca="false">IF(ISBLANK(Directions!D6), "Company 1", Directions!D6)</f>
        <v>Company 1</v>
      </c>
      <c r="E5" s="95"/>
      <c r="F5" s="239"/>
      <c r="G5" s="93"/>
      <c r="H5" s="93"/>
      <c r="I5" s="93"/>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s="95" customFormat="true" ht="13.8" hidden="false" customHeight="false" outlineLevel="0" collapsed="false">
      <c r="F6" s="239"/>
    </row>
    <row r="7" customFormat="false" ht="14.4" hidden="false" customHeight="false" outlineLevel="0" collapsed="false">
      <c r="A7" s="93"/>
      <c r="B7" s="93"/>
      <c r="C7" s="104" t="s">
        <v>231</v>
      </c>
      <c r="D7" s="104" t="str">
        <f aca="false">IF(Directions!F6&gt;0,Directions!F6,"First Year")</f>
        <v>First Year</v>
      </c>
      <c r="E7" s="104" t="str">
        <f aca="false">IF(Directions!F6&gt;0,Directions!F6+1,"Second Year")</f>
        <v>Second Year</v>
      </c>
      <c r="F7" s="104" t="str">
        <f aca="false">IF(Directions!F6&gt;0,Directions!F6+2,"Third Year")</f>
        <v>Third Year</v>
      </c>
      <c r="G7" s="93"/>
      <c r="H7" s="93"/>
      <c r="I7" s="93"/>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93"/>
      <c r="B8" s="93"/>
      <c r="C8" s="106" t="s">
        <v>232</v>
      </c>
      <c r="D8" s="416"/>
      <c r="E8" s="416"/>
      <c r="F8" s="416"/>
      <c r="G8" s="93"/>
      <c r="H8" s="93"/>
      <c r="I8" s="93"/>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93"/>
      <c r="B9" s="93"/>
      <c r="C9" s="323" t="s">
        <v>56</v>
      </c>
      <c r="D9" s="153" t="n">
        <f aca="false">Y1EndingCashBal</f>
        <v>0</v>
      </c>
      <c r="E9" s="153" t="n">
        <f aca="false">'6b-CashFlowYrs1-3'!N32</f>
        <v>0</v>
      </c>
      <c r="F9" s="153" t="n">
        <f aca="false">'6b-CashFlowYrs1-3'!AA32</f>
        <v>0</v>
      </c>
      <c r="G9" s="93"/>
      <c r="H9" s="93"/>
      <c r="I9" s="93"/>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93"/>
      <c r="B10" s="93"/>
      <c r="C10" s="323" t="s">
        <v>233</v>
      </c>
      <c r="D10" s="153" t="n">
        <f aca="false">+'7a-IncomeStatementYear1'!O15-'6a-CashFlowYear1'!O12-'7a-IncomeStatementYear1'!O56</f>
        <v>0</v>
      </c>
      <c r="E10" s="153" t="n">
        <f aca="false">+D10+'7b-IncomeStatementYrs1-3'!E14-'6b-CashFlowYrs1-3'!O11-'7b-IncomeStatementYrs1-3'!E55</f>
        <v>0</v>
      </c>
      <c r="F10" s="153" t="n">
        <f aca="false">+E10+'7b-IncomeStatementYrs1-3'!G14-'6b-CashFlowYrs1-3'!AB11-'7b-IncomeStatementYrs1-3'!G55</f>
        <v>0</v>
      </c>
      <c r="G10" s="93"/>
      <c r="H10" s="93"/>
      <c r="I10" s="93"/>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93"/>
      <c r="B11" s="93"/>
      <c r="C11" s="323" t="s">
        <v>26</v>
      </c>
      <c r="D11" s="153" t="n">
        <f aca="false">+Inventory+'6a-CashFlowYear1'!O17</f>
        <v>0</v>
      </c>
      <c r="E11" s="153" t="n">
        <f aca="false">+D11+'6b-CashFlowYrs1-3'!O16</f>
        <v>0</v>
      </c>
      <c r="F11" s="153" t="n">
        <f aca="false">+E11+'6b-CashFlowYrs1-3'!AB16</f>
        <v>0</v>
      </c>
      <c r="G11" s="93"/>
      <c r="H11" s="93"/>
      <c r="I11" s="93"/>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93"/>
      <c r="B12" s="93"/>
      <c r="C12" s="323" t="s">
        <v>234</v>
      </c>
      <c r="D12" s="153" t="n">
        <f aca="false">+'Amortization&amp;Depreciation'!C132-'Amortization&amp;Depreciation'!C133</f>
        <v>0</v>
      </c>
      <c r="E12" s="153" t="n">
        <f aca="false">+D12-'Amortization&amp;Depreciation'!C133</f>
        <v>0</v>
      </c>
      <c r="F12" s="153" t="n">
        <f aca="false">+E12-'Amortization&amp;Depreciation'!C133</f>
        <v>0</v>
      </c>
      <c r="G12" s="93"/>
      <c r="H12" s="93"/>
      <c r="I12" s="93"/>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93"/>
      <c r="B13" s="93"/>
      <c r="C13" s="323" t="s">
        <v>235</v>
      </c>
      <c r="D13" s="153" t="n">
        <f aca="false">+OtherStartUp-'Amortization&amp;Depreciation'!C135</f>
        <v>0</v>
      </c>
      <c r="E13" s="153" t="n">
        <f aca="false">+D13-'Amortization&amp;Depreciation'!C135</f>
        <v>0</v>
      </c>
      <c r="F13" s="153" t="n">
        <f aca="false">+E13-'Amortization&amp;Depreciation'!C135</f>
        <v>0</v>
      </c>
      <c r="G13" s="93"/>
      <c r="H13" s="93"/>
      <c r="I13" s="93"/>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93"/>
      <c r="B14" s="93"/>
      <c r="C14" s="285" t="s">
        <v>236</v>
      </c>
      <c r="D14" s="163" t="n">
        <f aca="false">SUM(D9:D13)</f>
        <v>0</v>
      </c>
      <c r="E14" s="163" t="n">
        <f aca="false">SUM(E9:E13)</f>
        <v>0</v>
      </c>
      <c r="F14" s="163" t="n">
        <f aca="false">SUM(F9:F13)</f>
        <v>0</v>
      </c>
      <c r="G14" s="93"/>
      <c r="H14" s="93"/>
      <c r="I14" s="93"/>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false" outlineLevel="0" collapsed="false">
      <c r="A15" s="93"/>
      <c r="B15" s="93"/>
      <c r="C15" s="336"/>
      <c r="D15" s="417"/>
      <c r="E15" s="417"/>
      <c r="F15" s="417"/>
      <c r="G15" s="93"/>
      <c r="H15" s="93"/>
      <c r="I15" s="93"/>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93"/>
      <c r="B16" s="93"/>
      <c r="C16" s="336" t="s">
        <v>10</v>
      </c>
      <c r="D16" s="417"/>
      <c r="E16" s="417"/>
      <c r="F16" s="417"/>
      <c r="G16" s="93"/>
      <c r="H16" s="93"/>
      <c r="I16" s="93"/>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8" hidden="false" customHeight="false" outlineLevel="0" collapsed="false">
      <c r="A17" s="93"/>
      <c r="B17" s="93"/>
      <c r="C17" s="418" t="s">
        <v>237</v>
      </c>
      <c r="D17" s="153" t="n">
        <f aca="false">Land</f>
        <v>0</v>
      </c>
      <c r="E17" s="153" t="n">
        <f aca="false">Land</f>
        <v>0</v>
      </c>
      <c r="F17" s="153" t="n">
        <f aca="false">Land</f>
        <v>0</v>
      </c>
      <c r="G17" s="0"/>
      <c r="H17" s="0"/>
      <c r="I17" s="93"/>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8" hidden="false" customHeight="false" outlineLevel="0" collapsed="false">
      <c r="A18" s="93"/>
      <c r="B18" s="93"/>
      <c r="C18" s="418" t="s">
        <v>238</v>
      </c>
      <c r="D18" s="153" t="n">
        <f aca="false">+'4-AdditionalInputs'!P29</f>
        <v>0</v>
      </c>
      <c r="E18" s="153" t="n">
        <f aca="false">+'4-AdditionalInputs'!P29+'4-AdditionalInputs'!Q29</f>
        <v>0</v>
      </c>
      <c r="F18" s="153" t="n">
        <f aca="false">+'4-AdditionalInputs'!P29+'4-AdditionalInputs'!Q29+'4-AdditionalInputs'!R29</f>
        <v>0</v>
      </c>
      <c r="G18" s="0"/>
      <c r="H18" s="0"/>
      <c r="I18" s="93"/>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93"/>
      <c r="B19" s="93"/>
      <c r="C19" s="418" t="s">
        <v>17</v>
      </c>
      <c r="D19" s="153" t="n">
        <f aca="false">+'4-AdditionalInputs'!P30</f>
        <v>0</v>
      </c>
      <c r="E19" s="153" t="n">
        <f aca="false">+'4-AdditionalInputs'!P30+'4-AdditionalInputs'!Q30</f>
        <v>0</v>
      </c>
      <c r="F19" s="153" t="n">
        <f aca="false">+'4-AdditionalInputs'!P30+'4-AdditionalInputs'!Q30+'4-AdditionalInputs'!R30</f>
        <v>0</v>
      </c>
      <c r="G19" s="0"/>
      <c r="H19" s="0"/>
      <c r="I19" s="93"/>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93"/>
      <c r="B20" s="93"/>
      <c r="C20" s="418" t="s">
        <v>18</v>
      </c>
      <c r="D20" s="153" t="n">
        <f aca="false">+'4-AdditionalInputs'!P31</f>
        <v>0</v>
      </c>
      <c r="E20" s="153" t="n">
        <f aca="false">+'4-AdditionalInputs'!P31+'4-AdditionalInputs'!Q31</f>
        <v>0</v>
      </c>
      <c r="F20" s="153" t="n">
        <f aca="false">+'4-AdditionalInputs'!P31+'4-AdditionalInputs'!Q31+'4-AdditionalInputs'!R31</f>
        <v>0</v>
      </c>
      <c r="G20" s="0"/>
      <c r="H20" s="0"/>
      <c r="I20" s="93"/>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8" hidden="false" customHeight="false" outlineLevel="0" collapsed="false">
      <c r="A21" s="93"/>
      <c r="B21" s="93"/>
      <c r="C21" s="418" t="s">
        <v>19</v>
      </c>
      <c r="D21" s="153" t="n">
        <f aca="false">+'4-AdditionalInputs'!P32</f>
        <v>0</v>
      </c>
      <c r="E21" s="153" t="n">
        <f aca="false">+'4-AdditionalInputs'!P32+'4-AdditionalInputs'!Q32</f>
        <v>0</v>
      </c>
      <c r="F21" s="153" t="n">
        <f aca="false">+'4-AdditionalInputs'!P32+'4-AdditionalInputs'!Q32+'4-AdditionalInputs'!R32</f>
        <v>0</v>
      </c>
      <c r="G21" s="0"/>
      <c r="H21" s="0"/>
      <c r="I21" s="93"/>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8" hidden="false" customHeight="false" outlineLevel="0" collapsed="false">
      <c r="A22" s="93"/>
      <c r="B22" s="93"/>
      <c r="C22" s="418" t="s">
        <v>20</v>
      </c>
      <c r="D22" s="153" t="n">
        <f aca="false">+'4-AdditionalInputs'!P33</f>
        <v>0</v>
      </c>
      <c r="E22" s="153" t="n">
        <f aca="false">+'4-AdditionalInputs'!P33+'4-AdditionalInputs'!Q33</f>
        <v>0</v>
      </c>
      <c r="F22" s="153" t="n">
        <f aca="false">+'4-AdditionalInputs'!P33+'4-AdditionalInputs'!Q33+'4-AdditionalInputs'!R33</f>
        <v>0</v>
      </c>
      <c r="G22" s="0"/>
      <c r="H22" s="0"/>
      <c r="I22" s="93"/>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93"/>
      <c r="B23" s="93"/>
      <c r="C23" s="418" t="s">
        <v>239</v>
      </c>
      <c r="D23" s="153" t="n">
        <f aca="false">+'4-AdditionalInputs'!P34</f>
        <v>0</v>
      </c>
      <c r="E23" s="153" t="n">
        <f aca="false">+'4-AdditionalInputs'!P34+'4-AdditionalInputs'!Q34</f>
        <v>0</v>
      </c>
      <c r="F23" s="153" t="n">
        <f aca="false">+'4-AdditionalInputs'!P34+'4-AdditionalInputs'!Q34+'4-AdditionalInputs'!R34</f>
        <v>0</v>
      </c>
      <c r="G23" s="0"/>
      <c r="H23" s="0"/>
      <c r="I23" s="93"/>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8" hidden="false" customHeight="false" outlineLevel="0" collapsed="false">
      <c r="A24" s="93"/>
      <c r="B24" s="93"/>
      <c r="C24" s="419" t="s">
        <v>22</v>
      </c>
      <c r="D24" s="163" t="n">
        <f aca="false">SUM(D17:D23)</f>
        <v>0</v>
      </c>
      <c r="E24" s="163" t="n">
        <f aca="false">SUM(E17:E23)</f>
        <v>0</v>
      </c>
      <c r="F24" s="163" t="n">
        <f aca="false">SUM(F17:F23)</f>
        <v>0</v>
      </c>
      <c r="G24" s="0"/>
      <c r="H24" s="0"/>
      <c r="I24" s="93"/>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8" hidden="false" customHeight="false" outlineLevel="0" collapsed="false">
      <c r="A25" s="93"/>
      <c r="B25" s="93"/>
      <c r="C25" s="336" t="s">
        <v>240</v>
      </c>
      <c r="D25" s="156" t="n">
        <f aca="false">'Amortization&amp;Depreciation'!O119</f>
        <v>0</v>
      </c>
      <c r="E25" s="156" t="n">
        <f aca="false">+D25+'Amortization&amp;Depreciation'!O123</f>
        <v>0</v>
      </c>
      <c r="F25" s="156" t="n">
        <f aca="false">E25+'Amortization&amp;Depreciation'!O127</f>
        <v>0</v>
      </c>
      <c r="G25" s="0"/>
      <c r="H25" s="0"/>
      <c r="I25" s="93"/>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8" hidden="false" customHeight="false" outlineLevel="0" collapsed="false">
      <c r="A26" s="93"/>
      <c r="B26" s="93"/>
      <c r="C26" s="420" t="s">
        <v>241</v>
      </c>
      <c r="D26" s="156" t="n">
        <f aca="false">INT(D24+D14-D25)</f>
        <v>0</v>
      </c>
      <c r="E26" s="156" t="n">
        <f aca="false">INT(E24+E14-E25)</f>
        <v>0</v>
      </c>
      <c r="F26" s="156" t="n">
        <f aca="false">INT(F24+F14-F25)</f>
        <v>0</v>
      </c>
      <c r="G26" s="0"/>
      <c r="H26" s="0"/>
      <c r="I26" s="93"/>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8" hidden="false" customHeight="false" outlineLevel="0" collapsed="false">
      <c r="A27" s="93"/>
      <c r="B27" s="93"/>
      <c r="C27" s="336"/>
      <c r="D27" s="417"/>
      <c r="E27" s="417"/>
      <c r="F27" s="417"/>
      <c r="G27" s="0"/>
      <c r="H27" s="0"/>
      <c r="I27" s="93"/>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4.4" hidden="false" customHeight="false" outlineLevel="0" collapsed="false">
      <c r="A28" s="93"/>
      <c r="B28" s="93"/>
      <c r="C28" s="104" t="s">
        <v>242</v>
      </c>
      <c r="D28" s="104"/>
      <c r="E28" s="104"/>
      <c r="F28" s="104"/>
      <c r="G28" s="0"/>
      <c r="H28" s="0"/>
      <c r="I28" s="93"/>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4.4" hidden="false" customHeight="false" outlineLevel="0" collapsed="false">
      <c r="A29" s="93"/>
      <c r="B29" s="93"/>
      <c r="C29" s="421" t="s">
        <v>243</v>
      </c>
      <c r="D29" s="422"/>
      <c r="E29" s="422"/>
      <c r="F29" s="422"/>
      <c r="G29" s="0"/>
      <c r="H29" s="0"/>
      <c r="I29" s="93"/>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8" hidden="false" customHeight="false" outlineLevel="0" collapsed="false">
      <c r="A30" s="93"/>
      <c r="B30" s="93"/>
      <c r="C30" s="418" t="s">
        <v>244</v>
      </c>
      <c r="D30" s="153" t="n">
        <f aca="false">+'7a-IncomeStatementYear1'!O23-'6a-CashFlowYear1'!O18</f>
        <v>0</v>
      </c>
      <c r="E30" s="153" t="n">
        <f aca="false">+D30+'7b-IncomeStatementYrs1-3'!E22-'6b-CashFlowYrs1-3'!O17</f>
        <v>0</v>
      </c>
      <c r="F30" s="153" t="n">
        <f aca="false">+E30+'7b-IncomeStatementYrs1-3'!G22-'6b-CashFlowYrs1-3'!AB17</f>
        <v>0</v>
      </c>
      <c r="G30" s="0"/>
      <c r="H30" s="0"/>
      <c r="I30" s="93"/>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8" hidden="false" customHeight="false" outlineLevel="0" collapsed="false">
      <c r="A31" s="93"/>
      <c r="B31" s="93"/>
      <c r="C31" s="418" t="s">
        <v>245</v>
      </c>
      <c r="D31" s="153" t="n">
        <f aca="false">+'Amortization&amp;Depreciation'!N17</f>
        <v>0</v>
      </c>
      <c r="E31" s="153" t="n">
        <f aca="false">+'Amortization&amp;Depreciation'!N21</f>
        <v>0</v>
      </c>
      <c r="F31" s="153" t="n">
        <f aca="false">+'Amortization&amp;Depreciation'!N25</f>
        <v>0</v>
      </c>
      <c r="G31" s="423"/>
      <c r="H31" s="423"/>
      <c r="I31" s="93"/>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93"/>
      <c r="B32" s="93"/>
      <c r="C32" s="418" t="s">
        <v>246</v>
      </c>
      <c r="D32" s="151" t="n">
        <f aca="false">+'Amortization&amp;Depreciation'!N37</f>
        <v>0</v>
      </c>
      <c r="E32" s="151" t="n">
        <f aca="false">+'Amortization&amp;Depreciation'!N41</f>
        <v>0</v>
      </c>
      <c r="F32" s="151" t="n">
        <f aca="false">+'Amortization&amp;Depreciation'!N45</f>
        <v>0</v>
      </c>
      <c r="G32" s="423"/>
      <c r="H32" s="423"/>
      <c r="I32" s="93"/>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8" hidden="false" customHeight="false" outlineLevel="0" collapsed="false">
      <c r="A33" s="93"/>
      <c r="B33" s="93"/>
      <c r="C33" s="418" t="s">
        <v>247</v>
      </c>
      <c r="D33" s="151" t="n">
        <f aca="false">+'Amortization&amp;Depreciation'!N57</f>
        <v>0</v>
      </c>
      <c r="E33" s="151" t="n">
        <f aca="false">+'Amortization&amp;Depreciation'!N61</f>
        <v>0</v>
      </c>
      <c r="F33" s="151" t="n">
        <f aca="false">+'Amortization&amp;Depreciation'!N65</f>
        <v>0</v>
      </c>
      <c r="G33" s="423"/>
      <c r="H33" s="423"/>
      <c r="I33" s="93"/>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8" hidden="false" customHeight="false" outlineLevel="0" collapsed="false">
      <c r="A34" s="93"/>
      <c r="B34" s="93"/>
      <c r="C34" s="418" t="s">
        <v>248</v>
      </c>
      <c r="D34" s="151" t="n">
        <f aca="false">+'Amortization&amp;Depreciation'!N77</f>
        <v>0</v>
      </c>
      <c r="E34" s="151" t="n">
        <f aca="false">+'Amortization&amp;Depreciation'!N81</f>
        <v>0</v>
      </c>
      <c r="F34" s="151" t="n">
        <f aca="false">+'Amortization&amp;Depreciation'!N85</f>
        <v>0</v>
      </c>
      <c r="G34" s="423"/>
      <c r="H34" s="423"/>
      <c r="I34" s="93"/>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8" hidden="false" customHeight="false" outlineLevel="0" collapsed="false">
      <c r="A35" s="93"/>
      <c r="B35" s="93"/>
      <c r="C35" s="418" t="s">
        <v>249</v>
      </c>
      <c r="D35" s="151" t="n">
        <f aca="false">+'Amortization&amp;Depreciation'!N97</f>
        <v>0</v>
      </c>
      <c r="E35" s="151" t="n">
        <f aca="false">+'Amortization&amp;Depreciation'!N101</f>
        <v>0</v>
      </c>
      <c r="F35" s="151" t="n">
        <f aca="false">+'Amortization&amp;Depreciation'!N105</f>
        <v>0</v>
      </c>
      <c r="G35" s="423"/>
      <c r="H35" s="423"/>
      <c r="I35" s="93"/>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3.8" hidden="false" customHeight="false" outlineLevel="0" collapsed="false">
      <c r="A36" s="93"/>
      <c r="B36" s="93"/>
      <c r="C36" s="418" t="s">
        <v>194</v>
      </c>
      <c r="D36" s="151" t="n">
        <f aca="false">+'6a-CashFlowYear1'!N34</f>
        <v>0</v>
      </c>
      <c r="E36" s="151" t="n">
        <f aca="false">+'6b-CashFlowYrs1-3'!N33</f>
        <v>0</v>
      </c>
      <c r="F36" s="151" t="n">
        <f aca="false">+'6b-CashFlowYrs1-3'!AA33</f>
        <v>0</v>
      </c>
      <c r="G36" s="423"/>
      <c r="H36" s="423"/>
      <c r="I36" s="93"/>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8" hidden="false" customHeight="false" outlineLevel="0" collapsed="false">
      <c r="A37" s="93"/>
      <c r="B37" s="93"/>
      <c r="C37" s="419" t="s">
        <v>250</v>
      </c>
      <c r="D37" s="424" t="n">
        <f aca="false">SUM(D30:D36)</f>
        <v>0</v>
      </c>
      <c r="E37" s="424" t="n">
        <f aca="false">SUM(E30:E36)</f>
        <v>0</v>
      </c>
      <c r="F37" s="424" t="n">
        <f aca="false">SUM(F30:F36)</f>
        <v>0</v>
      </c>
      <c r="G37" s="0"/>
      <c r="H37" s="0"/>
      <c r="I37" s="93"/>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8" hidden="false" customHeight="false" outlineLevel="0" collapsed="false">
      <c r="A38" s="93"/>
      <c r="B38" s="93"/>
      <c r="C38" s="336" t="s">
        <v>251</v>
      </c>
      <c r="D38" s="417"/>
      <c r="E38" s="417"/>
      <c r="F38" s="417"/>
      <c r="G38" s="0"/>
      <c r="H38" s="0"/>
      <c r="I38" s="93"/>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8" hidden="false" customHeight="false" outlineLevel="0" collapsed="false">
      <c r="A39" s="93"/>
      <c r="B39" s="93"/>
      <c r="C39" s="418" t="s">
        <v>252</v>
      </c>
      <c r="D39" s="153" t="n">
        <f aca="false">OwnerEquity+OutsideInvest</f>
        <v>0</v>
      </c>
      <c r="E39" s="153" t="n">
        <f aca="false">OwnerEquity+OutsideInvest</f>
        <v>0</v>
      </c>
      <c r="F39" s="153" t="n">
        <f aca="false">OwnerEquity+OutsideInvest</f>
        <v>0</v>
      </c>
      <c r="G39" s="0"/>
      <c r="H39" s="0"/>
      <c r="I39" s="93"/>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13.8" hidden="false" customHeight="false" outlineLevel="0" collapsed="false">
      <c r="A40" s="93"/>
      <c r="B40" s="93"/>
      <c r="C40" s="418" t="s">
        <v>253</v>
      </c>
      <c r="D40" s="153" t="n">
        <f aca="false">'7b-IncomeStatementYrs1-3'!C59</f>
        <v>0</v>
      </c>
      <c r="E40" s="153" t="n">
        <f aca="false">D40+NetIncomeY2</f>
        <v>0</v>
      </c>
      <c r="F40" s="153" t="n">
        <f aca="false">E40+NetIncomeY3</f>
        <v>0</v>
      </c>
      <c r="G40" s="0"/>
      <c r="H40" s="0"/>
      <c r="I40" s="93"/>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8" hidden="false" customHeight="false" outlineLevel="0" collapsed="false">
      <c r="A41" s="93"/>
      <c r="B41" s="93"/>
      <c r="C41" s="418" t="s">
        <v>254</v>
      </c>
      <c r="D41" s="153" t="n">
        <f aca="false">'6a-CashFlowYear1'!O28+'6a-CashFlowYear1'!O25</f>
        <v>0</v>
      </c>
      <c r="E41" s="153" t="n">
        <f aca="false">+D41+'6b-CashFlowYrs1-3'!O27+'6b-CashFlowYrs1-3'!O24</f>
        <v>0</v>
      </c>
      <c r="F41" s="153" t="n">
        <f aca="false">+E41+'6b-CashFlowYrs1-3'!AB27+'6b-CashFlowYrs1-3'!AB24</f>
        <v>0</v>
      </c>
      <c r="G41" s="0"/>
      <c r="H41" s="0"/>
      <c r="I41" s="93"/>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3.8" hidden="false" customHeight="false" outlineLevel="0" collapsed="false">
      <c r="A42" s="93"/>
      <c r="B42" s="93"/>
      <c r="C42" s="419" t="s">
        <v>255</v>
      </c>
      <c r="D42" s="163" t="n">
        <f aca="false">+D39+D40-D41</f>
        <v>0</v>
      </c>
      <c r="E42" s="163" t="n">
        <f aca="false">+E39+E40-E41</f>
        <v>0</v>
      </c>
      <c r="F42" s="163" t="n">
        <f aca="false">+F39+F40-F41</f>
        <v>0</v>
      </c>
      <c r="G42" s="0"/>
      <c r="H42" s="0"/>
      <c r="I42" s="93"/>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3.8" hidden="false" customHeight="false" outlineLevel="0" collapsed="false">
      <c r="A43" s="93"/>
      <c r="B43" s="93"/>
      <c r="C43" s="321" t="s">
        <v>256</v>
      </c>
      <c r="D43" s="156" t="n">
        <f aca="false">INT(D37+D42)</f>
        <v>0</v>
      </c>
      <c r="E43" s="156" t="n">
        <f aca="false">INT(E37+E42)</f>
        <v>0</v>
      </c>
      <c r="F43" s="156" t="n">
        <f aca="false">INT(F37+F42)</f>
        <v>0</v>
      </c>
      <c r="G43" s="0"/>
      <c r="H43" s="0"/>
      <c r="I43" s="93"/>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8" hidden="false" customHeight="false" outlineLevel="0" collapsed="false">
      <c r="A44" s="93"/>
      <c r="B44" s="93"/>
      <c r="C44" s="113"/>
      <c r="D44" s="425"/>
      <c r="E44" s="425"/>
      <c r="F44" s="425"/>
      <c r="G44" s="0"/>
      <c r="H44" s="0"/>
      <c r="I44" s="93"/>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8" hidden="false" customHeight="false" outlineLevel="0" collapsed="false">
      <c r="A45" s="93"/>
      <c r="B45" s="93"/>
      <c r="C45" s="426" t="s">
        <v>257</v>
      </c>
      <c r="D45" s="156" t="n">
        <f aca="false">D26-D43</f>
        <v>0</v>
      </c>
      <c r="E45" s="156" t="n">
        <f aca="false">E26-E43</f>
        <v>0</v>
      </c>
      <c r="F45" s="156" t="n">
        <f aca="false">F26-F43</f>
        <v>0</v>
      </c>
      <c r="G45" s="0"/>
      <c r="H45" s="0"/>
      <c r="I45" s="93"/>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3.8" hidden="false" customHeight="false" outlineLevel="0" collapsed="false">
      <c r="A46" s="93"/>
      <c r="B46" s="93"/>
      <c r="C46" s="426"/>
      <c r="D46" s="139" t="str">
        <f aca="false">IF(D45=0,"Balanced!", "Warning: Not Balanced")</f>
        <v>Balanced!</v>
      </c>
      <c r="E46" s="139" t="str">
        <f aca="false">IF(E45=0,"Balanced!", "Warning: Not Balanced")</f>
        <v>Balanced!</v>
      </c>
      <c r="F46" s="139" t="str">
        <f aca="false">IF(F45=0,"Balanced!", "Warning: Not Balanced")</f>
        <v>Balanced!</v>
      </c>
      <c r="G46" s="0"/>
      <c r="H46" s="0"/>
      <c r="I46" s="93"/>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sheetData>
  <sheetProtection sheet="true" password="cc3d" objects="true" scenarios="true" formatColumns="false" formatRows="false"/>
  <mergeCells count="1">
    <mergeCell ref="C45:C46"/>
  </mergeCells>
  <conditionalFormatting sqref="D32:F37">
    <cfRule type="expression" priority="2" aboveAverage="0" equalAverage="0" bottom="0" percent="0" rank="0" text="" dxfId="0">
      <formula>LEN(TRIM(D32))&gt;0</formula>
    </cfRule>
    <cfRule type="expression" priority="3" aboveAverage="0" equalAverage="0" bottom="0" percent="0" rank="0" text="" dxfId="1">
      <formula>LEN(TRIM(D32))=0</formula>
    </cfRule>
  </conditionalFormatting>
  <conditionalFormatting sqref="D32:F37">
    <cfRule type="cellIs" priority="4" operator="equal" aboveAverage="0" equalAverage="0" bottom="0" percent="0" rank="0" text="" dxfId="2">
      <formula>#div/0!</formula>
    </cfRule>
  </conditionalFormatting>
  <conditionalFormatting sqref="E9:F9,D14,D11:F13,D25:F25,D17:F23">
    <cfRule type="expression" priority="5" aboveAverage="0" equalAverage="0" bottom="0" percent="0" rank="0" text="" dxfId="3">
      <formula>ISERROR(D9)</formula>
    </cfRule>
  </conditionalFormatting>
  <conditionalFormatting sqref="D43:F43">
    <cfRule type="expression" priority="6" aboveAverage="0" equalAverage="0" bottom="0" percent="0" rank="0" text="" dxfId="4">
      <formula>ISERROR(D43)</formula>
    </cfRule>
  </conditionalFormatting>
  <conditionalFormatting sqref="D45:F45">
    <cfRule type="expression" priority="7" aboveAverage="0" equalAverage="0" bottom="0" percent="0" rank="0" text="" dxfId="5">
      <formula>ISERROR(D45)</formula>
    </cfRule>
  </conditionalFormatting>
  <conditionalFormatting sqref="D30:F30">
    <cfRule type="expression" priority="8" aboveAverage="0" equalAverage="0" bottom="0" percent="0" rank="0" text="" dxfId="6">
      <formula>ISERROR(D30)</formula>
    </cfRule>
  </conditionalFormatting>
  <conditionalFormatting sqref="D26:F26">
    <cfRule type="expression" priority="9" aboveAverage="0" equalAverage="0" bottom="0" percent="0" rank="0" text="" dxfId="7">
      <formula>ISERROR(D26)</formula>
    </cfRule>
  </conditionalFormatting>
  <conditionalFormatting sqref="D24:F24">
    <cfRule type="expression" priority="10" aboveAverage="0" equalAverage="0" bottom="0" percent="0" rank="0" text="" dxfId="8">
      <formula>ISERROR(D24)</formula>
    </cfRule>
  </conditionalFormatting>
  <conditionalFormatting sqref="D9:D10,E10:F10">
    <cfRule type="expression" priority="11" aboveAverage="0" equalAverage="0" bottom="0" percent="0" rank="0" text="" dxfId="9">
      <formula>ISERROR(D9)</formula>
    </cfRule>
  </conditionalFormatting>
  <conditionalFormatting sqref="E14:F14">
    <cfRule type="expression" priority="12" aboveAverage="0" equalAverage="0" bottom="0" percent="0" rank="0" text="" dxfId="10">
      <formula>ISERROR(E14)</formula>
    </cfRule>
  </conditionalFormatting>
  <conditionalFormatting sqref="D31:F31">
    <cfRule type="expression" priority="13" aboveAverage="0" equalAverage="0" bottom="0" percent="0" rank="0" text="" dxfId="11">
      <formula>ISERROR(D31)</formula>
    </cfRule>
  </conditionalFormatting>
  <conditionalFormatting sqref="D46:F46">
    <cfRule type="containsText" priority="14" aboveAverage="0" equalAverage="0" bottom="0" percent="0" rank="0" text="Warning:" dxfId="12"/>
  </conditionalFormatting>
  <printOptions headings="false" gridLines="false" gridLinesSet="true" horizontalCentered="true" verticalCentered="tru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MT,Regular"&amp;12Balance Sheet Years 1-3</oddHeader>
    <oddFooter>&amp;L&amp;"Gill Sans MT,Regular"&amp;12&amp;F&amp;C&amp;"Gill Sans MT,Regular"&amp;12&amp;A&amp;R&amp;"Gill Sans MT,Regular"&amp;12&amp;D &amp;T</oddFooter>
  </headerFooter>
  <rowBreaks count="1" manualBreakCount="1">
    <brk id="43" man="true" max="16383" min="0"/>
  </rowBreaks>
</worksheet>
</file>

<file path=xl/worksheets/sheet15.xml><?xml version="1.0" encoding="utf-8"?>
<worksheet xmlns="http://schemas.openxmlformats.org/spreadsheetml/2006/main" xmlns:r="http://schemas.openxmlformats.org/officeDocument/2006/relationships">
  <sheetPr filterMode="false">
    <pageSetUpPr fitToPage="true"/>
  </sheetPr>
  <dimension ref="1:20"/>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10" activeCellId="0" sqref="C10"/>
    </sheetView>
  </sheetViews>
  <sheetFormatPr defaultRowHeight="13.8"/>
  <cols>
    <col collapsed="false" hidden="false" max="1" min="1" style="102" width="9.11336032388664"/>
    <col collapsed="false" hidden="false" max="2" min="2" style="331" width="36.4412955465587"/>
    <col collapsed="false" hidden="false" max="3" min="3" style="331" width="17.004048582996"/>
    <col collapsed="false" hidden="false" max="4" min="4" style="427" width="14.8906882591093"/>
    <col collapsed="false" hidden="false" max="5" min="5" style="102" width="9.11336032388664"/>
    <col collapsed="false" hidden="false" max="1025" min="6" style="331" width="9.11336032388664"/>
  </cols>
  <sheetData>
    <row r="1" s="102" customFormat="true" ht="13.8" hidden="false" customHeight="false" outlineLevel="0" collapsed="false">
      <c r="D1" s="154"/>
    </row>
    <row r="2" customFormat="false" ht="13.8" hidden="false" customHeight="false" outlineLevel="0" collapsed="false">
      <c r="A2" s="0"/>
      <c r="B2" s="240" t="s">
        <v>258</v>
      </c>
      <c r="C2" s="102"/>
      <c r="D2" s="154"/>
      <c r="E2" s="428"/>
      <c r="F2" s="428"/>
      <c r="G2" s="428"/>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0"/>
      <c r="B3" s="429"/>
      <c r="C3" s="102"/>
      <c r="D3" s="154"/>
      <c r="E3" s="428"/>
      <c r="F3" s="428"/>
      <c r="G3" s="428"/>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8" hidden="false" customHeight="false" outlineLevel="0" collapsed="false">
      <c r="A4" s="0"/>
      <c r="B4" s="240" t="s">
        <v>8</v>
      </c>
      <c r="C4" s="94" t="s">
        <v>9</v>
      </c>
      <c r="D4" s="154"/>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0"/>
      <c r="B5" s="103" t="str">
        <f aca="false">IF(ISBLANK(Directions!C6), "Owner", Directions!C6)</f>
        <v>Owner</v>
      </c>
      <c r="C5" s="103" t="str">
        <f aca="false">IF(ISBLANK(Directions!D6), "Company 1", Directions!D6)</f>
        <v>Company 1</v>
      </c>
      <c r="D5" s="103"/>
      <c r="E5" s="103"/>
      <c r="F5" s="43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0"/>
      <c r="B6" s="103"/>
      <c r="C6" s="103"/>
      <c r="D6" s="103"/>
      <c r="E6" s="103"/>
      <c r="F6" s="43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8" hidden="false" customHeight="false" outlineLevel="0" collapsed="false">
      <c r="A7" s="0"/>
      <c r="B7" s="431"/>
      <c r="C7" s="432"/>
      <c r="D7" s="331"/>
      <c r="E7" s="103"/>
      <c r="F7" s="43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true" outlineLevel="0" collapsed="false">
      <c r="A8" s="0"/>
      <c r="B8" s="104" t="s">
        <v>259</v>
      </c>
      <c r="C8" s="104"/>
      <c r="D8" s="102"/>
      <c r="E8" s="0"/>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4.4" hidden="false" customHeight="false" outlineLevel="0" collapsed="false">
      <c r="A9" s="0"/>
      <c r="B9" s="433" t="s">
        <v>199</v>
      </c>
      <c r="C9" s="434" t="n">
        <f aca="false">'7b-IncomeStatementYrs1-3'!C23</f>
        <v>0</v>
      </c>
      <c r="D9" s="102"/>
      <c r="E9" s="0"/>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0"/>
      <c r="B10" s="323" t="s">
        <v>102</v>
      </c>
      <c r="C10" s="136" t="n">
        <f aca="false">'7b-IncomeStatementYrs1-3'!C14</f>
        <v>0</v>
      </c>
      <c r="D10" s="102"/>
      <c r="E10" s="0"/>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0"/>
      <c r="B11" s="120" t="s">
        <v>260</v>
      </c>
      <c r="C11" s="435" t="n">
        <f aca="false">IF(C10&gt;0, C9/C10, 0)</f>
        <v>0</v>
      </c>
      <c r="D11" s="102"/>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4" hidden="false" customHeight="true" outlineLevel="0" collapsed="false">
      <c r="A12" s="0"/>
      <c r="B12" s="104" t="s">
        <v>261</v>
      </c>
      <c r="C12" s="104"/>
      <c r="D12" s="436"/>
      <c r="E12" s="437"/>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29.25" hidden="false" customHeight="true" outlineLevel="0" collapsed="false">
      <c r="A13" s="0"/>
      <c r="B13" s="106" t="s">
        <v>181</v>
      </c>
      <c r="C13" s="438" t="n">
        <f aca="false">'2a-PayrollYear1'!R25</f>
        <v>0</v>
      </c>
      <c r="D13" s="436"/>
      <c r="E13" s="437"/>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29.25" hidden="false" customHeight="true" outlineLevel="0" collapsed="false">
      <c r="A14" s="0"/>
      <c r="B14" s="113" t="s">
        <v>180</v>
      </c>
      <c r="C14" s="439" t="n">
        <f aca="false">'5a-OpExYear1'!O38</f>
        <v>0</v>
      </c>
      <c r="D14" s="436"/>
      <c r="E14" s="437"/>
      <c r="F14" s="0"/>
      <c r="G14" s="0"/>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false" outlineLevel="0" collapsed="false">
      <c r="A15" s="0"/>
      <c r="B15" s="120" t="s">
        <v>262</v>
      </c>
      <c r="C15" s="440" t="n">
        <f aca="false">SUM(C13:C14)</f>
        <v>0</v>
      </c>
      <c r="D15" s="436"/>
      <c r="E15" s="437"/>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4" hidden="false" customHeight="true" outlineLevel="0" collapsed="false">
      <c r="A16" s="0"/>
      <c r="B16" s="104" t="s">
        <v>263</v>
      </c>
      <c r="C16" s="104"/>
      <c r="D16" s="436"/>
      <c r="E16" s="437"/>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29.25" hidden="false" customHeight="true" outlineLevel="0" collapsed="false">
      <c r="A17" s="0"/>
      <c r="B17" s="433" t="s">
        <v>264</v>
      </c>
      <c r="C17" s="441" t="n">
        <f aca="false">C11</f>
        <v>0</v>
      </c>
      <c r="D17" s="436"/>
      <c r="E17" s="437"/>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29.25" hidden="false" customHeight="true" outlineLevel="0" collapsed="false">
      <c r="A18" s="0"/>
      <c r="B18" s="323" t="s">
        <v>261</v>
      </c>
      <c r="C18" s="442" t="n">
        <f aca="false">C15</f>
        <v>0</v>
      </c>
      <c r="D18" s="436"/>
      <c r="E18" s="437"/>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29.25" hidden="false" customHeight="true" outlineLevel="0" collapsed="false">
      <c r="A19" s="0"/>
      <c r="B19" s="120" t="s">
        <v>265</v>
      </c>
      <c r="C19" s="219" t="n">
        <f aca="false">IF(C11=0,0, C15/C11)</f>
        <v>0</v>
      </c>
      <c r="D19" s="436"/>
      <c r="E19" s="437"/>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0"/>
      <c r="B20" s="443" t="s">
        <v>266</v>
      </c>
      <c r="C20" s="444" t="n">
        <f aca="false">C19/12</f>
        <v>0</v>
      </c>
      <c r="D20" s="445"/>
      <c r="E20" s="437"/>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sheetData>
  <sheetProtection sheet="true" password="cc3d" objects="true" scenarios="true" formatColumns="false" formatRows="false"/>
  <mergeCells count="3">
    <mergeCell ref="B8:C8"/>
    <mergeCell ref="B12:C12"/>
    <mergeCell ref="B16:C16"/>
  </mergeCells>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MT,Regular"&amp;12Breakeven Analysis</oddHeader>
    <oddFooter>&amp;L&amp;"Gill Sans MT,Regular"&amp;12&amp;F&amp;C&amp;"Gill Sans MT,Regular"&amp;12&amp;A&amp;R&amp;"Gill Sans MT,Regular"&amp;12&amp;D &amp;T</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true"/>
  </sheetPr>
  <dimension ref="1:28"/>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F4" activeCellId="0" sqref="F4"/>
    </sheetView>
  </sheetViews>
  <sheetFormatPr defaultRowHeight="13.8"/>
  <cols>
    <col collapsed="false" hidden="false" max="1" min="1" style="95" width="9.33198380566802"/>
    <col collapsed="false" hidden="false" max="2" min="2" style="93" width="39.8825910931174"/>
    <col collapsed="false" hidden="false" max="3" min="3" style="93" width="14.9959514170041"/>
    <col collapsed="false" hidden="false" max="4" min="4" style="95" width="10.4412955465587"/>
    <col collapsed="false" hidden="false" max="5" min="5" style="93" width="12.331983805668"/>
    <col collapsed="false" hidden="false" max="6" min="6" style="93" width="17.331983805668"/>
    <col collapsed="false" hidden="false" max="7" min="7" style="93" width="12.331983805668"/>
    <col collapsed="false" hidden="false" max="1025" min="8" style="93" width="17.5546558704453"/>
  </cols>
  <sheetData>
    <row r="1" s="95" customFormat="true" ht="13.8" hidden="false" customHeight="false" outlineLevel="0" collapsed="false">
      <c r="A1" s="94"/>
      <c r="B1" s="94"/>
    </row>
    <row r="2" s="95" customFormat="true" ht="13.8" hidden="false" customHeight="false" outlineLevel="0" collapsed="false">
      <c r="A2" s="0"/>
      <c r="B2" s="97" t="s">
        <v>267</v>
      </c>
    </row>
    <row r="3" s="95" customFormat="true" ht="13.8" hidden="false" customHeight="false" outlineLevel="0" collapsed="false">
      <c r="A3" s="0"/>
      <c r="B3" s="446"/>
    </row>
    <row r="4" customFormat="false" ht="13.8" hidden="false" customHeight="false" outlineLevel="0" collapsed="false">
      <c r="A4" s="0"/>
      <c r="B4" s="164" t="s">
        <v>8</v>
      </c>
      <c r="C4" s="447" t="s">
        <v>9</v>
      </c>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94"/>
      <c r="B5" s="241" t="str">
        <f aca="false">IF(ISBLANK(Directions!C6), "Owner", Directions!C6)</f>
        <v>Owner</v>
      </c>
      <c r="C5" s="448" t="str">
        <f aca="false">IF(ISBLANK(Directions!D6), "Company 1", Directions!D6)</f>
        <v>Company 1</v>
      </c>
      <c r="D5" s="102"/>
      <c r="E5" s="102"/>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150"/>
      <c r="B6" s="150"/>
      <c r="C6" s="103"/>
      <c r="D6" s="102"/>
      <c r="E6" s="102"/>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false" outlineLevel="0" collapsed="false">
      <c r="A7" s="0"/>
      <c r="B7" s="104" t="s">
        <v>268</v>
      </c>
      <c r="C7" s="104" t="s">
        <v>269</v>
      </c>
      <c r="D7" s="104" t="s">
        <v>270</v>
      </c>
      <c r="E7" s="104" t="s">
        <v>271</v>
      </c>
      <c r="F7" s="104" t="s">
        <v>272</v>
      </c>
      <c r="G7" s="104" t="s">
        <v>13</v>
      </c>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150"/>
      <c r="B8" s="449" t="s">
        <v>273</v>
      </c>
      <c r="C8" s="450"/>
      <c r="D8" s="451"/>
      <c r="E8" s="106"/>
      <c r="F8" s="106"/>
      <c r="G8" s="106"/>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150"/>
      <c r="B9" s="452" t="s">
        <v>274</v>
      </c>
      <c r="C9" s="453" t="n">
        <f aca="false">IF('8-BalanceSheet'!D37=0,0,'8-BalanceSheet'!D14/'8-BalanceSheet'!D37)</f>
        <v>0</v>
      </c>
      <c r="D9" s="453" t="n">
        <f aca="false">IF('8-BalanceSheet'!E37=0,0,'8-BalanceSheet'!E14/'8-BalanceSheet'!E37)</f>
        <v>0</v>
      </c>
      <c r="E9" s="453" t="n">
        <f aca="false">IF('8-BalanceSheet'!F37=0,0,'8-BalanceSheet'!F14/'8-BalanceSheet'!F37)</f>
        <v>0</v>
      </c>
      <c r="F9" s="454"/>
      <c r="G9" s="113"/>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95" customFormat="true" ht="13.8" hidden="false" customHeight="false" outlineLevel="0" collapsed="false">
      <c r="A10" s="150"/>
      <c r="B10" s="452" t="s">
        <v>275</v>
      </c>
      <c r="C10" s="453" t="n">
        <f aca="false">IF('8-BalanceSheet'!D37=0,0,('8-BalanceSheet'!D9+'8-BalanceSheet'!D10)/'8-BalanceSheet'!D37)</f>
        <v>0</v>
      </c>
      <c r="D10" s="453" t="n">
        <f aca="false">IF('8-BalanceSheet'!E37=0,0,('8-BalanceSheet'!E9+'8-BalanceSheet'!E10)/'8-BalanceSheet'!E37)</f>
        <v>0</v>
      </c>
      <c r="E10" s="453" t="n">
        <f aca="false">IF('8-BalanceSheet'!F37=0,0,('8-BalanceSheet'!F9+'8-BalanceSheet'!F10)/'8-BalanceSheet'!F37)</f>
        <v>0</v>
      </c>
      <c r="F10" s="454"/>
      <c r="G10" s="113"/>
    </row>
    <row r="11" customFormat="false" ht="13.8" hidden="false" customHeight="false" outlineLevel="0" collapsed="false">
      <c r="A11" s="150"/>
      <c r="B11" s="455" t="s">
        <v>276</v>
      </c>
      <c r="C11" s="453"/>
      <c r="D11" s="453"/>
      <c r="E11" s="453"/>
      <c r="F11" s="454"/>
      <c r="G11" s="113"/>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150"/>
      <c r="B12" s="452" t="s">
        <v>277</v>
      </c>
      <c r="C12" s="453" t="n">
        <f aca="false">IF('8-BalanceSheet'!D42=0,0,'8-BalanceSheet'!D37/'8-BalanceSheet'!D42)</f>
        <v>0</v>
      </c>
      <c r="D12" s="453" t="n">
        <f aca="false">IF('8-BalanceSheet'!E42=0,0,'8-BalanceSheet'!E37/'8-BalanceSheet'!E42)</f>
        <v>0</v>
      </c>
      <c r="E12" s="453" t="n">
        <f aca="false">IF('8-BalanceSheet'!F42=0,0,'8-BalanceSheet'!F37/'8-BalanceSheet'!F42)</f>
        <v>0</v>
      </c>
      <c r="F12" s="454"/>
      <c r="G12" s="113"/>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150"/>
      <c r="B13" s="452" t="s">
        <v>278</v>
      </c>
      <c r="C13" s="453" t="n">
        <f aca="false">IF('8-BalanceSheet'!D37=0,0,('7a-IncomeStatementYear1'!O60+'7a-IncomeStatementYear1'!O48)/'8-BalanceSheet'!D37)</f>
        <v>0</v>
      </c>
      <c r="D13" s="453" t="n">
        <f aca="false">IF('8-BalanceSheet'!E37=0,0,('7b-IncomeStatementYrs1-3'!E47+NetIncomeY2)/'8-BalanceSheet'!E37)</f>
        <v>0</v>
      </c>
      <c r="E13" s="453" t="n">
        <f aca="false">IF('8-BalanceSheet'!F37=0,0,('7b-IncomeStatementYrs1-3'!G47+NetIncomeY3)/'8-BalanceSheet'!F37)</f>
        <v>0</v>
      </c>
      <c r="F13" s="454"/>
      <c r="G13" s="113"/>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150"/>
      <c r="B14" s="455" t="s">
        <v>279</v>
      </c>
      <c r="C14" s="456"/>
      <c r="D14" s="456"/>
      <c r="E14" s="456"/>
      <c r="F14" s="113"/>
      <c r="G14" s="113"/>
      <c r="H14" s="0"/>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false" outlineLevel="0" collapsed="false">
      <c r="A15" s="150"/>
      <c r="B15" s="452" t="s">
        <v>280</v>
      </c>
      <c r="C15" s="457" t="n">
        <v>0</v>
      </c>
      <c r="D15" s="457" t="n">
        <f aca="false">IF('7b-IncomeStatementYrs1-3'!C14=0,0,('7b-IncomeStatementYrs1-3'!E14- '7b-IncomeStatementYrs1-3'!C14)/'7b-IncomeStatementYrs1-3'!C14)</f>
        <v>0</v>
      </c>
      <c r="E15" s="457" t="n">
        <f aca="false">IF('7b-IncomeStatementYrs1-3'!E14=0,0,('7b-IncomeStatementYrs1-3'!G14- '7b-IncomeStatementYrs1-3'!E14)/'7b-IncomeStatementYrs1-3'!E14)</f>
        <v>0</v>
      </c>
      <c r="F15" s="458"/>
      <c r="G15" s="113"/>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150"/>
      <c r="B16" s="452" t="s">
        <v>281</v>
      </c>
      <c r="C16" s="457" t="n">
        <f aca="false">IF('7b-IncomeStatementYrs1-3'!C14=0,0,'7b-IncomeStatementYrs1-3'!C22/'7b-IncomeStatementYrs1-3'!C14)</f>
        <v>0</v>
      </c>
      <c r="D16" s="457" t="n">
        <f aca="false">IF('7b-IncomeStatementYrs1-3'!E14=0,0,'7b-IncomeStatementYrs1-3'!E22/'7b-IncomeStatementYrs1-3'!E14)</f>
        <v>0</v>
      </c>
      <c r="E16" s="457" t="n">
        <f aca="false">IF('7b-IncomeStatementYrs1-3'!G14=0,0,'7b-IncomeStatementYrs1-3'!G22/'7b-IncomeStatementYrs1-3'!G14)</f>
        <v>0</v>
      </c>
      <c r="F16" s="458"/>
      <c r="G16" s="113"/>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95" customFormat="true" ht="13.8" hidden="false" customHeight="false" outlineLevel="0" collapsed="false">
      <c r="A17" s="150"/>
      <c r="B17" s="452" t="s">
        <v>282</v>
      </c>
      <c r="C17" s="457" t="n">
        <f aca="false">BreakevenAnalysis!C11</f>
        <v>0</v>
      </c>
      <c r="D17" s="457" t="n">
        <f aca="false">IF('7b-IncomeStatementYrs1-3'!E14=0,0,'7b-IncomeStatementYrs1-3'!E23/'7b-IncomeStatementYrs1-3'!E14)</f>
        <v>0</v>
      </c>
      <c r="E17" s="457" t="n">
        <f aca="false">IF('7b-IncomeStatementYrs1-3'!G14=0,0,'7b-IncomeStatementYrs1-3'!G23/'7b-IncomeStatementYrs1-3'!G14)</f>
        <v>0</v>
      </c>
      <c r="F17" s="458"/>
      <c r="G17" s="113"/>
    </row>
    <row r="18" customFormat="false" ht="13.8" hidden="false" customHeight="false" outlineLevel="0" collapsed="false">
      <c r="A18" s="150"/>
      <c r="B18" s="452" t="s">
        <v>283</v>
      </c>
      <c r="C18" s="457" t="n">
        <f aca="false">IF('7a-IncomeStatementYear1'!O15=0,0,('7a-IncomeStatementYear1'!O25+'7a-IncomeStatementYear1'!O44)/'7a-IncomeStatementYear1'!O15)</f>
        <v>0</v>
      </c>
      <c r="D18" s="457" t="n">
        <f aca="false">IF('7b-IncomeStatementYrs1-3'!E14=0,0,('7b-IncomeStatementYrs1-3'!E24+'7b-IncomeStatementYrs1-3'!E43)/'7b-IncomeStatementYrs1-3'!E14)</f>
        <v>0</v>
      </c>
      <c r="E18" s="457" t="n">
        <f aca="false">IF('7b-IncomeStatementYrs1-3'!G14=0,0,('7b-IncomeStatementYrs1-3'!G24+'7b-IncomeStatementYrs1-3'!G43)/'7b-IncomeStatementYrs1-3'!G14)</f>
        <v>0</v>
      </c>
      <c r="F18" s="458"/>
      <c r="G18" s="113"/>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150"/>
      <c r="B19" s="452" t="s">
        <v>284</v>
      </c>
      <c r="C19" s="457" t="n">
        <f aca="false">IF('7b-IncomeStatementYrs1-3'!C14=0,0,NetIncomeY1/'7b-IncomeStatementYrs1-3'!C14)</f>
        <v>0</v>
      </c>
      <c r="D19" s="457" t="n">
        <f aca="false">IF('7b-IncomeStatementYrs1-3'!E14=0,0,NetIncomeY2/'7b-IncomeStatementYrs1-3'!E14)</f>
        <v>0</v>
      </c>
      <c r="E19" s="457" t="n">
        <f aca="false">IF('7b-IncomeStatementYrs1-3'!G14=0,0,NetIncomeY3/'7b-IncomeStatementYrs1-3'!G14)</f>
        <v>0</v>
      </c>
      <c r="F19" s="458"/>
      <c r="G19" s="113"/>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150"/>
      <c r="B20" s="452" t="s">
        <v>285</v>
      </c>
      <c r="C20" s="457" t="n">
        <f aca="false">IF('8-BalanceSheet'!D42=0,0, NetIncomeY1/'8-BalanceSheet'!D42)</f>
        <v>0</v>
      </c>
      <c r="D20" s="457" t="n">
        <f aca="false">IF('8-BalanceSheet'!E42=0,0, NetIncomeY2/'8-BalanceSheet'!E42)</f>
        <v>0</v>
      </c>
      <c r="E20" s="457" t="n">
        <f aca="false">IF('8-BalanceSheet'!F42=0,0, NetIncomeY3/'8-BalanceSheet'!F42)</f>
        <v>0</v>
      </c>
      <c r="F20" s="458"/>
      <c r="G20" s="113"/>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8" hidden="false" customHeight="false" outlineLevel="0" collapsed="false">
      <c r="A21" s="150"/>
      <c r="B21" s="452" t="s">
        <v>286</v>
      </c>
      <c r="C21" s="457" t="n">
        <f aca="false">IF('8-BalanceSheet'!D26=0,0, NetIncomeY1/'8-BalanceSheet'!D26)</f>
        <v>0</v>
      </c>
      <c r="D21" s="457" t="n">
        <f aca="false">IF('8-BalanceSheet'!E26=0,0, NetIncomeY2/'8-BalanceSheet'!E26)</f>
        <v>0</v>
      </c>
      <c r="E21" s="457" t="n">
        <f aca="false">IF('8-BalanceSheet'!F26=0,0, NetIncomeY3/'8-BalanceSheet'!F26)</f>
        <v>0</v>
      </c>
      <c r="F21" s="458"/>
      <c r="G21" s="113"/>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8" hidden="false" customHeight="false" outlineLevel="0" collapsed="false">
      <c r="A22" s="150"/>
      <c r="B22" s="452" t="s">
        <v>287</v>
      </c>
      <c r="C22" s="457" t="n">
        <f aca="false">IF('7b-IncomeStatementYrs1-3'!C14=0,0,'2b-PayrollYrs1-3'!C9/'7b-IncomeStatementYrs1-3'!C14)</f>
        <v>0</v>
      </c>
      <c r="D22" s="457" t="n">
        <f aca="false">IF('7b-IncomeStatementYrs1-3'!E14=0,0,'2b-PayrollYrs1-3'!E9/'7b-IncomeStatementYrs1-3'!E14)</f>
        <v>0</v>
      </c>
      <c r="E22" s="457" t="n">
        <f aca="false">IF('7b-IncomeStatementYrs1-3'!G14=0,0,'2b-PayrollYrs1-3'!G9/'7b-IncomeStatementYrs1-3'!G14)</f>
        <v>0</v>
      </c>
      <c r="F22" s="458"/>
      <c r="G22" s="113"/>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150"/>
      <c r="B23" s="455" t="s">
        <v>288</v>
      </c>
      <c r="C23" s="456"/>
      <c r="D23" s="456"/>
      <c r="E23" s="456"/>
      <c r="F23" s="113"/>
      <c r="G23" s="113"/>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309" customFormat="true" ht="13.8" hidden="false" customHeight="false" outlineLevel="0" collapsed="false">
      <c r="A24" s="150"/>
      <c r="B24" s="452" t="s">
        <v>289</v>
      </c>
      <c r="C24" s="453" t="n">
        <f aca="false">IF('7b-IncomeStatementYrs1-3'!C14=0,0, '8-BalanceSheet'!D10/'7b-IncomeStatementYrs1-3'!C14 * 360)</f>
        <v>0</v>
      </c>
      <c r="D24" s="453" t="n">
        <f aca="false">IF('7b-IncomeStatementYrs1-3'!E14=0,0,'8-BalanceSheet'!E10/'7b-IncomeStatementYrs1-3'!E14)*360</f>
        <v>0</v>
      </c>
      <c r="E24" s="453" t="n">
        <f aca="false">IF('7b-IncomeStatementYrs1-3'!G14=0,0, '8-BalanceSheet'!F10/'7b-IncomeStatementYrs1-3'!G14 * 360)</f>
        <v>0</v>
      </c>
      <c r="F24" s="454"/>
      <c r="G24" s="113"/>
    </row>
    <row r="25" s="95" customFormat="true" ht="13.8" hidden="false" customHeight="false" outlineLevel="0" collapsed="false">
      <c r="A25" s="150"/>
      <c r="B25" s="452" t="s">
        <v>290</v>
      </c>
      <c r="C25" s="453" t="n">
        <f aca="false">IF('8-BalanceSheet'!D10=0,0,'7b-IncomeStatementYrs1-3'!C14/'8-BalanceSheet'!D10)</f>
        <v>0</v>
      </c>
      <c r="D25" s="453" t="n">
        <f aca="false">IF('8-BalanceSheet'!E10=0,0,'7b-IncomeStatementYrs1-3'!E14/'8-BalanceSheet'!E10)</f>
        <v>0</v>
      </c>
      <c r="E25" s="453" t="n">
        <f aca="false">IF('8-BalanceSheet'!F10=0,0,'7b-IncomeStatementYrs1-3'!G14/'8-BalanceSheet'!F10)</f>
        <v>0</v>
      </c>
      <c r="F25" s="454"/>
      <c r="G25" s="113"/>
    </row>
    <row r="26" customFormat="false" ht="13.8" hidden="false" customHeight="false" outlineLevel="0" collapsed="false">
      <c r="A26" s="150"/>
      <c r="B26" s="452" t="s">
        <v>291</v>
      </c>
      <c r="C26" s="453" t="n">
        <f aca="false">IF('7b-IncomeStatementYrs1-3'!C22=0,0,'8-BalanceSheet'!D11/'7b-IncomeStatementYrs1-3'!C22*360)</f>
        <v>0</v>
      </c>
      <c r="D26" s="453" t="n">
        <f aca="false">IF('7b-IncomeStatementYrs1-3'!E22=0,0,'8-BalanceSheet'!E11/'7b-IncomeStatementYrs1-3'!E22*365)</f>
        <v>0</v>
      </c>
      <c r="E26" s="453" t="n">
        <f aca="false">IF('7b-IncomeStatementYrs1-3'!G22=0,0,'8-BalanceSheet'!F11/'7b-IncomeStatementYrs1-3'!G22*365)</f>
        <v>0</v>
      </c>
      <c r="F26" s="454"/>
      <c r="G26" s="113"/>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8" hidden="false" customHeight="false" outlineLevel="0" collapsed="false">
      <c r="A27" s="150"/>
      <c r="B27" s="452" t="s">
        <v>292</v>
      </c>
      <c r="C27" s="453" t="n">
        <f aca="false">IF('8-BalanceSheet'!D11=0,0,'7b-IncomeStatementYrs1-3'!C22/'8-BalanceSheet'!D11)</f>
        <v>0</v>
      </c>
      <c r="D27" s="453" t="n">
        <f aca="false">IF('8-BalanceSheet'!E11=0,0,'7b-IncomeStatementYrs1-3'!E22/'8-BalanceSheet'!E11)</f>
        <v>0</v>
      </c>
      <c r="E27" s="453" t="n">
        <f aca="false">IF('8-BalanceSheet'!F11=0,0,'7b-IncomeStatementYrs1-3'!G22/'8-BalanceSheet'!F11)</f>
        <v>0</v>
      </c>
      <c r="F27" s="454"/>
      <c r="G27" s="113"/>
      <c r="H27" s="0"/>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309" customFormat="true" ht="13.8" hidden="false" customHeight="false" outlineLevel="0" collapsed="false">
      <c r="A28" s="150"/>
      <c r="B28" s="452" t="s">
        <v>293</v>
      </c>
      <c r="C28" s="453" t="n">
        <f aca="false">IF('8-BalanceSheet'!D26=0,0,'7b-IncomeStatementYrs1-3'!C14/'8-BalanceSheet'!D26)</f>
        <v>0</v>
      </c>
      <c r="D28" s="453" t="n">
        <f aca="false">IF('8-BalanceSheet'!E26=0,0,'7b-IncomeStatementYrs1-3'!E14/'8-BalanceSheet'!E26)</f>
        <v>0</v>
      </c>
      <c r="E28" s="453" t="n">
        <f aca="false">IF('8-BalanceSheet'!F26=0,0,'7b-IncomeStatementYrs1-3'!G14/'8-BalanceSheet'!F26)</f>
        <v>0</v>
      </c>
      <c r="F28" s="454"/>
      <c r="G28" s="113"/>
    </row>
  </sheetData>
  <sheetProtection sheet="true" password="cc3d" objects="true" scenarios="true" formatColumns="false" formatRows="false"/>
  <conditionalFormatting sqref="F9:F10">
    <cfRule type="expression" priority="2" aboveAverage="0" equalAverage="0" bottom="0" percent="0" rank="0" text="" dxfId="0">
      <formula>LEN(TRIM(F9))=0</formula>
    </cfRule>
  </conditionalFormatting>
  <conditionalFormatting sqref="F12:F13">
    <cfRule type="expression" priority="3" aboveAverage="0" equalAverage="0" bottom="0" percent="0" rank="0" text="" dxfId="1">
      <formula>LEN(TRIM(F12))=0</formula>
    </cfRule>
  </conditionalFormatting>
  <conditionalFormatting sqref="F15:F22">
    <cfRule type="expression" priority="4" aboveAverage="0" equalAverage="0" bottom="0" percent="0" rank="0" text="" dxfId="2">
      <formula>LEN(TRIM(F15))=0</formula>
    </cfRule>
  </conditionalFormatting>
  <conditionalFormatting sqref="F24:F28">
    <cfRule type="expression" priority="5" aboveAverage="0" equalAverage="0" bottom="0" percent="0" rank="0" text="" dxfId="3">
      <formula>LEN(TRIM(F24))=0</formula>
    </cfRule>
  </conditionalFormatting>
  <printOptions headings="false" gridLines="false" gridLinesSet="true" horizontalCentered="true" verticalCentered="tru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MT,Regular"&amp;12Financial Ratios - Year 1</oddHeader>
    <oddFooter>&amp;L&amp;"Gill Sans MT,Regular"&amp;12&amp;F&amp;C&amp;"Gill Sans MT,Regular"&amp;12&amp;A&amp;R&amp;"Gill Sans MT,Regular"&amp;12&amp;D &amp;T</oddFooter>
  </headerFooter>
  <drawing r:id="rId1"/>
</worksheet>
</file>

<file path=xl/worksheets/sheet17.xml><?xml version="1.0" encoding="utf-8"?>
<worksheet xmlns="http://schemas.openxmlformats.org/spreadsheetml/2006/main" xmlns:r="http://schemas.openxmlformats.org/officeDocument/2006/relationships">
  <sheetPr filterMode="false">
    <pageSetUpPr fitToPage="true"/>
  </sheetPr>
  <dimension ref="1:36"/>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G34" activeCellId="0" sqref="G34"/>
    </sheetView>
  </sheetViews>
  <sheetFormatPr defaultRowHeight="13.8"/>
  <cols>
    <col collapsed="false" hidden="false" max="1" min="1" style="95" width="6.33603238866397"/>
    <col collapsed="false" hidden="false" max="2" min="2" style="93" width="41.1133603238866"/>
    <col collapsed="false" hidden="false" max="3" min="3" style="93" width="11.6599190283401"/>
    <col collapsed="false" hidden="false" max="4" min="4" style="93" width="53.668016194332"/>
    <col collapsed="false" hidden="false" max="5" min="5" style="95" width="9.11336032388664"/>
    <col collapsed="false" hidden="false" max="6" min="6" style="93" width="23.331983805668"/>
    <col collapsed="false" hidden="false" max="1025" min="7" style="93" width="9.11336032388664"/>
  </cols>
  <sheetData>
    <row r="1" s="95" customFormat="true" ht="13.8" hidden="false" customHeight="false" outlineLevel="0" collapsed="false">
      <c r="A1" s="94"/>
      <c r="B1" s="94"/>
    </row>
    <row r="2" customFormat="false" ht="13.8" hidden="false" customHeight="false" outlineLevel="0" collapsed="false">
      <c r="A2" s="0"/>
      <c r="B2" s="97" t="s">
        <v>294</v>
      </c>
      <c r="C2" s="95"/>
      <c r="D2" s="95"/>
      <c r="E2" s="281"/>
      <c r="F2" s="281"/>
      <c r="G2" s="281"/>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0"/>
      <c r="B3" s="446"/>
      <c r="C3" s="95"/>
      <c r="D3" s="95"/>
      <c r="E3" s="281"/>
      <c r="F3" s="281"/>
      <c r="G3" s="281"/>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8" hidden="false" customHeight="false" outlineLevel="0" collapsed="false">
      <c r="A4" s="0"/>
      <c r="B4" s="164" t="s">
        <v>8</v>
      </c>
      <c r="C4" s="164" t="s">
        <v>9</v>
      </c>
      <c r="D4" s="164"/>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94"/>
      <c r="B5" s="241" t="str">
        <f aca="false">IF(ISBLANK(Directions!C6), "Owner", Directions!C6)</f>
        <v>Owner</v>
      </c>
      <c r="C5" s="241" t="str">
        <f aca="false">IF(ISBLANK(Directions!D6), "Company 1", Directions!D6)</f>
        <v>Company 1</v>
      </c>
      <c r="D5" s="241"/>
      <c r="E5" s="102"/>
      <c r="F5" s="102"/>
      <c r="G5" s="102"/>
      <c r="H5" s="102"/>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150"/>
      <c r="B6" s="150"/>
      <c r="C6" s="103"/>
      <c r="D6" s="103"/>
      <c r="E6" s="102"/>
      <c r="F6" s="102"/>
      <c r="G6" s="102"/>
      <c r="H6" s="102"/>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false" outlineLevel="0" collapsed="false">
      <c r="A7" s="0"/>
      <c r="B7" s="104" t="s">
        <v>295</v>
      </c>
      <c r="C7" s="104" t="s">
        <v>296</v>
      </c>
      <c r="D7" s="104" t="s">
        <v>297</v>
      </c>
      <c r="E7" s="459"/>
      <c r="F7" s="459"/>
      <c r="G7" s="103"/>
      <c r="H7" s="459"/>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150"/>
      <c r="B8" s="106" t="s">
        <v>298</v>
      </c>
      <c r="C8" s="460" t="n">
        <f aca="false">IF('1-StartingPoint'!D42=0,0,'1-StartingPoint'!D34/'1-StartingPoint'!C31)</f>
        <v>0</v>
      </c>
      <c r="D8" s="461" t="str">
        <f aca="false">IF(C8&gt;0.2,"Owner's injection is reasonable","Owner's injection might be too low in relation to the amount of money needed")</f>
        <v>Owner's injection might be too low in relation to the amount of money needed</v>
      </c>
      <c r="E8" s="462"/>
      <c r="F8" s="462"/>
      <c r="G8" s="103"/>
      <c r="H8" s="103"/>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150"/>
      <c r="B9" s="113" t="s">
        <v>299</v>
      </c>
      <c r="C9" s="463" t="n">
        <f aca="false">IF('1-StartingPoint'!C31=0,0,'1-StartingPoint'!C29/'1-StartingPoint'!C31)</f>
        <v>0</v>
      </c>
      <c r="D9" s="464" t="str">
        <f aca="false">IF(C9&lt;0.2,"Cash request seems reasonable with respect to total request","Cash request exceeds 20% which might be too high")</f>
        <v>Cash request seems reasonable with respect to total request</v>
      </c>
      <c r="E9" s="462"/>
      <c r="F9" s="462"/>
      <c r="G9" s="103"/>
      <c r="H9" s="103"/>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s="95" customFormat="true" ht="13.8" hidden="false" customHeight="false" outlineLevel="0" collapsed="false">
      <c r="A10" s="150"/>
      <c r="B10" s="120"/>
      <c r="C10" s="465"/>
      <c r="D10" s="464"/>
      <c r="E10" s="462"/>
      <c r="F10" s="462"/>
      <c r="G10" s="103"/>
      <c r="H10" s="103"/>
    </row>
    <row r="11" customFormat="false" ht="14.4" hidden="false" customHeight="false" outlineLevel="0" collapsed="false">
      <c r="A11" s="150"/>
      <c r="B11" s="104" t="s">
        <v>300</v>
      </c>
      <c r="C11" s="104" t="s">
        <v>296</v>
      </c>
      <c r="D11" s="104" t="s">
        <v>297</v>
      </c>
      <c r="E11" s="462"/>
      <c r="F11" s="462"/>
      <c r="G11" s="103"/>
      <c r="H11" s="103"/>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4.4" hidden="false" customHeight="false" outlineLevel="0" collapsed="false">
      <c r="A12" s="150"/>
      <c r="B12" s="106" t="s">
        <v>301</v>
      </c>
      <c r="C12" s="460" t="n">
        <f aca="false">'1-StartingPoint'!E37</f>
        <v>0.09</v>
      </c>
      <c r="D12" s="466" t="str">
        <f aca="false">IF(C12&lt;0.06,"Interest rate may be too low for the type of loan requested","Interest rate seems reasonable")</f>
        <v>Interest rate seems reasonable</v>
      </c>
      <c r="E12" s="103"/>
      <c r="F12" s="103"/>
      <c r="G12" s="103"/>
      <c r="H12" s="103"/>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150"/>
      <c r="B13" s="113" t="s">
        <v>302</v>
      </c>
      <c r="C13" s="467" t="n">
        <f aca="false">'1-StartingPoint'!F37</f>
        <v>84</v>
      </c>
      <c r="D13" s="468" t="str">
        <f aca="false">IF(C13&gt;120,"Loan term may be too high for this type of loan","Loan term seems within range for this type of loan")</f>
        <v>Loan term seems within range for this type of loan</v>
      </c>
      <c r="E13" s="469"/>
      <c r="F13" s="469"/>
      <c r="G13" s="103"/>
      <c r="H13" s="103"/>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150"/>
      <c r="B14" s="113" t="s">
        <v>303</v>
      </c>
      <c r="C14" s="463" t="n">
        <f aca="false">'1-StartingPoint'!E38</f>
        <v>0.09</v>
      </c>
      <c r="D14" s="470" t="str">
        <f aca="false">IF(C14&lt;0.06,"Interest rate may be too low for type of loan requested","Interest rate seems reasonable")</f>
        <v>Interest rate seems reasonable</v>
      </c>
      <c r="E14" s="469"/>
      <c r="F14" s="469"/>
      <c r="G14" s="103"/>
      <c r="H14" s="103"/>
      <c r="I14" s="0"/>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false" outlineLevel="0" collapsed="false">
      <c r="A15" s="150"/>
      <c r="B15" s="113" t="s">
        <v>304</v>
      </c>
      <c r="C15" s="471" t="n">
        <f aca="false">'1-StartingPoint'!F38</f>
        <v>240</v>
      </c>
      <c r="D15" s="472" t="str">
        <f aca="false">IF(C15&gt;240,"Loan term may be too high for this type of loan","Loan term seems within range for this type of loan")</f>
        <v>Loan term seems within range for this type of loan</v>
      </c>
      <c r="E15" s="469"/>
      <c r="F15" s="469"/>
      <c r="G15" s="103"/>
      <c r="H15" s="103"/>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150"/>
      <c r="B16" s="113" t="s">
        <v>305</v>
      </c>
      <c r="C16" s="465" t="n">
        <f aca="false">FinancialRatios!C13</f>
        <v>0</v>
      </c>
      <c r="D16" s="470" t="str">
        <f aca="false">IF(C16&gt;1,"Calculated loan payments relative to operating proft may be too high","Calculated loan payments relative to operating profit seem reasonable")</f>
        <v>Calculated loan payments relative to operating profit seem reasonable</v>
      </c>
      <c r="E16" s="469"/>
      <c r="F16" s="469"/>
      <c r="G16" s="103"/>
      <c r="H16" s="103"/>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95" customFormat="true" ht="13.8" hidden="false" customHeight="false" outlineLevel="0" collapsed="false">
      <c r="A17" s="150"/>
      <c r="B17" s="120"/>
      <c r="C17" s="463"/>
      <c r="D17" s="470"/>
      <c r="E17" s="469"/>
      <c r="F17" s="469"/>
      <c r="G17" s="103"/>
      <c r="H17" s="103"/>
    </row>
    <row r="18" customFormat="false" ht="14.4" hidden="false" customHeight="false" outlineLevel="0" collapsed="false">
      <c r="A18" s="150"/>
      <c r="B18" s="104" t="s">
        <v>306</v>
      </c>
      <c r="C18" s="104" t="s">
        <v>296</v>
      </c>
      <c r="D18" s="104" t="s">
        <v>297</v>
      </c>
      <c r="E18" s="469"/>
      <c r="F18" s="469"/>
      <c r="G18" s="103"/>
      <c r="H18" s="103"/>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4.4" hidden="false" customHeight="false" outlineLevel="0" collapsed="false">
      <c r="A19" s="150"/>
      <c r="B19" s="106" t="s">
        <v>307</v>
      </c>
      <c r="C19" s="460" t="n">
        <f aca="false">BreakevenAnalysis!C11</f>
        <v>0</v>
      </c>
      <c r="D19" s="473" t="str">
        <f aca="false">IF(C19&lt;0.2,"Gross margin percentage seems very low","Gross margin percentage seems reasonable")</f>
        <v>Gross margin percentage seems very low</v>
      </c>
      <c r="E19" s="469"/>
      <c r="F19" s="469"/>
      <c r="G19" s="103"/>
      <c r="H19" s="103"/>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150"/>
      <c r="B20" s="113" t="s">
        <v>308</v>
      </c>
      <c r="C20" s="424" t="n">
        <f aca="false">'2a-PayrollYear1'!R8</f>
        <v>0</v>
      </c>
      <c r="D20" s="470" t="str">
        <f aca="false">IF(C20&gt;0,"An owner's compensation amount has been established","An owner's compensation amount has not been established")</f>
        <v>An owner's compensation amount has not been established</v>
      </c>
      <c r="E20" s="469"/>
      <c r="F20" s="469"/>
      <c r="G20" s="103"/>
      <c r="H20" s="103"/>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8" hidden="false" customHeight="false" outlineLevel="0" collapsed="false">
      <c r="A21" s="150"/>
      <c r="B21" s="113" t="s">
        <v>309</v>
      </c>
      <c r="C21" s="463" t="n">
        <f aca="false">IF(NetIncomeY1=0,0,'2a-PayrollYear1'!R8/NetIncomeY1)</f>
        <v>0</v>
      </c>
      <c r="D21" s="470" t="str">
        <f aca="false">IF(C21&gt;1,"Owner's compensation may be too high relative to profitability of business","Owner's compensation seems reasonable")</f>
        <v>Owner's compensation seems reasonable</v>
      </c>
      <c r="E21" s="469"/>
      <c r="F21" s="469"/>
      <c r="G21" s="103"/>
      <c r="H21" s="103"/>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8" hidden="false" customHeight="false" outlineLevel="0" collapsed="false">
      <c r="A22" s="150"/>
      <c r="B22" s="113" t="s">
        <v>310</v>
      </c>
      <c r="C22" s="463" t="n">
        <f aca="false">IF('7b-IncomeStatementYrs1-3'!C14=0,0,'7b-IncomeStatementYrs1-3'!C26/'7b-IncomeStatementYrs1-3'!C14)</f>
        <v>0</v>
      </c>
      <c r="D22" s="470" t="str">
        <f aca="false">IF(C22&lt;0.02,"Advertising as a percent of sales may be too low","Advertising as a percent of sales seems reasonable")</f>
        <v>Advertising as a percent of sales may be too low</v>
      </c>
      <c r="E22" s="469"/>
      <c r="F22" s="469"/>
      <c r="G22" s="103"/>
      <c r="H22" s="103"/>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150"/>
      <c r="B23" s="113" t="s">
        <v>311</v>
      </c>
      <c r="C23" s="424" t="n">
        <f aca="false">NetIncomeY1</f>
        <v>0</v>
      </c>
      <c r="D23" s="470" t="str">
        <f aca="false">IF(C23&lt;=0,"The business is not showing a profit","The business is showing a profit")</f>
        <v>The business is not showing a profit</v>
      </c>
      <c r="E23" s="469"/>
      <c r="F23" s="469"/>
      <c r="G23" s="103"/>
      <c r="H23" s="103"/>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309" customFormat="true" ht="13.8" hidden="false" customHeight="false" outlineLevel="0" collapsed="false">
      <c r="A24" s="150"/>
      <c r="B24" s="113" t="s">
        <v>312</v>
      </c>
      <c r="C24" s="463" t="n">
        <f aca="false">IF('7b-IncomeStatementYrs1-3'!C14=0,0,NetIncomeY1/'7b-IncomeStatementYrs1-3'!C14)</f>
        <v>0</v>
      </c>
      <c r="D24" s="470" t="str">
        <f aca="false">IF(C24&gt;0.2,"The projection may be too aggressive in stating profitability","The projection does not seem highly unreasonable")</f>
        <v>The projection does not seem highly unreasonable</v>
      </c>
      <c r="E24" s="469"/>
      <c r="F24" s="469"/>
      <c r="G24" s="103"/>
      <c r="H24" s="103"/>
    </row>
    <row r="25" s="95" customFormat="true" ht="13.8" hidden="false" customHeight="false" outlineLevel="0" collapsed="false">
      <c r="A25" s="150"/>
      <c r="B25" s="120"/>
      <c r="C25" s="328"/>
      <c r="D25" s="470"/>
      <c r="E25" s="469"/>
      <c r="F25" s="469"/>
      <c r="G25" s="103"/>
      <c r="H25" s="103"/>
    </row>
    <row r="26" customFormat="false" ht="14.4" hidden="false" customHeight="false" outlineLevel="0" collapsed="false">
      <c r="A26" s="150"/>
      <c r="B26" s="104" t="s">
        <v>313</v>
      </c>
      <c r="C26" s="104" t="s">
        <v>296</v>
      </c>
      <c r="D26" s="104" t="s">
        <v>297</v>
      </c>
      <c r="E26" s="469"/>
      <c r="F26" s="469"/>
      <c r="G26" s="103"/>
      <c r="H26" s="103"/>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4.4" hidden="false" customHeight="false" outlineLevel="0" collapsed="false">
      <c r="A27" s="150"/>
      <c r="B27" s="106" t="s">
        <v>314</v>
      </c>
      <c r="C27" s="474" t="n">
        <f aca="false">'6a-CashFlowYear1'!O32</f>
        <v>0</v>
      </c>
      <c r="D27" s="473" t="str">
        <f aca="false">IF(C27&lt;0,"The financial projection does not provide the desired level of cash flow","The financial projection provides the desired level of cash flow")</f>
        <v>The financial projection provides the desired level of cash flow</v>
      </c>
      <c r="E27" s="469"/>
      <c r="F27" s="469"/>
      <c r="G27" s="103"/>
      <c r="H27" s="103"/>
      <c r="I27" s="0"/>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150"/>
      <c r="B28" s="113" t="s">
        <v>315</v>
      </c>
      <c r="C28" s="163" t="n">
        <f aca="false">+C27</f>
        <v>0</v>
      </c>
      <c r="D28" s="470" t="str">
        <f aca="false">IF(C28&gt;0,"The business will need at least this level of a line of credit","The business doesn't seem to require a line of credit")</f>
        <v>The business doesn't seem to require a line of credit</v>
      </c>
      <c r="E28" s="469"/>
      <c r="F28" s="469"/>
      <c r="G28" s="103"/>
      <c r="H28" s="103"/>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s="309" customFormat="true" ht="13.8" hidden="false" customHeight="false" outlineLevel="0" collapsed="false">
      <c r="A29" s="150"/>
      <c r="B29" s="113" t="s">
        <v>316</v>
      </c>
      <c r="C29" s="463" t="n">
        <f aca="false">IF('7b-IncomeStatementYrs1-3'!C14=0,0,'8-BalanceSheet'!D10/'7b-IncomeStatementYrs1-3'!C14)</f>
        <v>0</v>
      </c>
      <c r="D29" s="470" t="str">
        <f aca="false">IF(C29&gt;0.3,"Accounts receivable amounts seem high","Accounts receivable amount as a percent of sales seems reasonable")</f>
        <v>Accounts receivable amount as a percent of sales seems reasonable</v>
      </c>
      <c r="E29" s="469"/>
      <c r="F29" s="469"/>
      <c r="G29" s="103"/>
      <c r="H29" s="103"/>
    </row>
    <row r="30" s="95" customFormat="true" ht="13.8" hidden="false" customHeight="false" outlineLevel="0" collapsed="false">
      <c r="A30" s="150"/>
      <c r="B30" s="120"/>
      <c r="C30" s="120"/>
      <c r="D30" s="470"/>
      <c r="E30" s="469"/>
      <c r="F30" s="469"/>
      <c r="G30" s="103"/>
      <c r="H30" s="103"/>
    </row>
    <row r="31" customFormat="false" ht="14.4" hidden="false" customHeight="false" outlineLevel="0" collapsed="false">
      <c r="A31" s="150"/>
      <c r="B31" s="104" t="s">
        <v>317</v>
      </c>
      <c r="C31" s="104" t="s">
        <v>296</v>
      </c>
      <c r="D31" s="104" t="s">
        <v>297</v>
      </c>
      <c r="E31" s="469"/>
      <c r="F31" s="469"/>
      <c r="G31" s="103"/>
      <c r="H31" s="103"/>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4.4" hidden="false" customHeight="false" outlineLevel="0" collapsed="false">
      <c r="A32" s="150"/>
      <c r="B32" s="106" t="s">
        <v>318</v>
      </c>
      <c r="C32" s="475" t="n">
        <f aca="false">'8-BalanceSheet'!D45</f>
        <v>0</v>
      </c>
      <c r="D32" s="473" t="str">
        <f aca="false">IF(C32&lt;&gt;0,"The balance sheet is not in balance","The balance sheet does balance")</f>
        <v>The balance sheet does balance</v>
      </c>
      <c r="E32" s="469"/>
      <c r="F32" s="469"/>
      <c r="G32" s="103"/>
      <c r="H32" s="103"/>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309" customFormat="true" ht="13.8" hidden="false" customHeight="false" outlineLevel="0" collapsed="false">
      <c r="A33" s="150"/>
      <c r="B33" s="113" t="s">
        <v>277</v>
      </c>
      <c r="C33" s="463" t="n">
        <f aca="false">FinancialRatios!C12</f>
        <v>0</v>
      </c>
      <c r="D33" s="470" t="str">
        <f aca="false">IF(C33&lt;=2, "Very comfortable", IF(C33&lt;=3, "Reasonable", IF(C33&lt;=4, "Getting debt heavy", "Debt heavy")))</f>
        <v>Very comfortable</v>
      </c>
      <c r="E33" s="469"/>
      <c r="F33" s="469"/>
      <c r="G33" s="103"/>
      <c r="H33" s="103"/>
    </row>
    <row r="34" s="95" customFormat="true" ht="13.8" hidden="false" customHeight="false" outlineLevel="0" collapsed="false">
      <c r="A34" s="150"/>
      <c r="B34" s="120"/>
      <c r="C34" s="328"/>
      <c r="D34" s="470"/>
      <c r="E34" s="469"/>
      <c r="F34" s="469"/>
      <c r="G34" s="103"/>
      <c r="H34" s="103"/>
    </row>
    <row r="35" customFormat="false" ht="14.4" hidden="false" customHeight="false" outlineLevel="0" collapsed="false">
      <c r="A35" s="150"/>
      <c r="B35" s="104" t="s">
        <v>319</v>
      </c>
      <c r="C35" s="104" t="s">
        <v>296</v>
      </c>
      <c r="D35" s="104" t="s">
        <v>297</v>
      </c>
      <c r="E35" s="469"/>
      <c r="F35" s="469"/>
      <c r="G35" s="103"/>
      <c r="H35" s="103"/>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4.4" hidden="false" customHeight="false" outlineLevel="0" collapsed="false">
      <c r="A36" s="150"/>
      <c r="B36" s="106" t="s">
        <v>320</v>
      </c>
      <c r="C36" s="475" t="n">
        <f aca="false">'7b-IncomeStatementYrs1-3'!C14-BreakevenAnalysis!C19</f>
        <v>0</v>
      </c>
      <c r="D36" s="473" t="str">
        <f aca="false">IF(C36&gt;0,"The sales projection exceeds the projected break-even sales level","The sales projection is less than the break-even amount")</f>
        <v>The sales projection is less than the break-even amount</v>
      </c>
      <c r="E36" s="469"/>
      <c r="F36" s="469"/>
      <c r="G36" s="103"/>
      <c r="H36" s="103"/>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sheetData>
  <sheetProtection sheet="true" password="cc3d" objects="true" scenarios="true" formatColumns="false" formatRows="false"/>
  <mergeCells count="2">
    <mergeCell ref="C4:D4"/>
    <mergeCell ref="C5:D5"/>
  </mergeCells>
  <printOptions headings="false" gridLines="false" gridLinesSet="true" horizontalCentered="true" verticalCentered="tru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MT,Regular"&amp;12Diagnostic Tools - Year 1</oddHeader>
    <oddFooter>&amp;L&amp;"Gill Sans MT,Regular"&amp;12&amp;F&amp;C&amp;"Gill Sans MT,Regular"&amp;12&amp;A&amp;R&amp;"Gill Sans MT,Regular"&amp;12&amp;D &amp;T</oddFooter>
  </headerFooter>
  <drawing r:id="rId1"/>
</worksheet>
</file>

<file path=xl/worksheets/sheet18.xml><?xml version="1.0" encoding="utf-8"?>
<worksheet xmlns="http://schemas.openxmlformats.org/spreadsheetml/2006/main" xmlns:r="http://schemas.openxmlformats.org/officeDocument/2006/relationships">
  <sheetPr filterMode="false">
    <pageSetUpPr fitToPage="true"/>
  </sheetPr>
  <dimension ref="1:31"/>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F25" activeCellId="0" sqref="F25"/>
    </sheetView>
  </sheetViews>
  <sheetFormatPr defaultRowHeight="13.8"/>
  <cols>
    <col collapsed="false" hidden="false" max="1" min="1" style="95" width="9.11336032388664"/>
    <col collapsed="false" hidden="false" max="2" min="2" style="93" width="66.1052631578947"/>
    <col collapsed="false" hidden="false" max="3" min="3" style="93" width="30.4412955465587"/>
    <col collapsed="false" hidden="false" max="6" min="4" style="95" width="9.11336032388664"/>
    <col collapsed="false" hidden="false" max="9" min="7" style="476" width="9.11336032388664"/>
    <col collapsed="false" hidden="false" max="1025" min="10" style="93" width="8.88259109311741"/>
  </cols>
  <sheetData>
    <row r="1" customFormat="false" ht="13.8" hidden="false" customHeight="false" outlineLevel="0" collapsed="false">
      <c r="A1" s="0"/>
      <c r="B1" s="95"/>
      <c r="C1" s="95"/>
      <c r="D1" s="0"/>
      <c r="E1" s="0"/>
      <c r="F1" s="0"/>
      <c r="G1" s="93"/>
      <c r="H1" s="93"/>
      <c r="I1" s="93"/>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96"/>
      <c r="B2" s="164" t="s">
        <v>321</v>
      </c>
      <c r="C2" s="477"/>
      <c r="D2" s="0"/>
      <c r="E2" s="0"/>
      <c r="F2" s="0"/>
      <c r="G2" s="93"/>
      <c r="H2" s="93"/>
      <c r="I2" s="93"/>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96"/>
      <c r="B3" s="477"/>
      <c r="C3" s="477"/>
      <c r="D3" s="0"/>
      <c r="E3" s="0"/>
      <c r="F3" s="0"/>
      <c r="G3" s="93"/>
      <c r="H3" s="93"/>
      <c r="I3" s="93"/>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5" hidden="false" customHeight="true" outlineLevel="0" collapsed="false">
      <c r="A4" s="96"/>
      <c r="B4" s="164" t="s">
        <v>8</v>
      </c>
      <c r="C4" s="164" t="s">
        <v>9</v>
      </c>
      <c r="D4" s="0"/>
      <c r="E4" s="0"/>
      <c r="F4" s="0"/>
      <c r="G4" s="0"/>
      <c r="H4" s="93"/>
      <c r="I4" s="93"/>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96"/>
      <c r="B5" s="241" t="str">
        <f aca="false">IF(ISBLANK(Directions!C6), "Owner", Directions!C6)</f>
        <v>Owner</v>
      </c>
      <c r="C5" s="241" t="str">
        <f aca="false">IF(ISBLANK(Directions!D6), "Company 1", Directions!D6)</f>
        <v>Company 1</v>
      </c>
      <c r="D5" s="0"/>
      <c r="E5" s="0"/>
      <c r="F5" s="0"/>
      <c r="G5" s="0"/>
      <c r="H5" s="478"/>
      <c r="I5" s="478"/>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true" outlineLevel="0" collapsed="false">
      <c r="A6" s="0"/>
      <c r="B6" s="479"/>
      <c r="C6" s="479"/>
      <c r="D6" s="0"/>
      <c r="E6" s="0"/>
      <c r="F6" s="0"/>
      <c r="G6" s="0"/>
      <c r="H6" s="478"/>
      <c r="I6" s="478"/>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true" outlineLevel="0" collapsed="false">
      <c r="A7" s="0"/>
      <c r="B7" s="104" t="s">
        <v>322</v>
      </c>
      <c r="C7" s="104"/>
      <c r="D7" s="0"/>
      <c r="E7" s="0"/>
      <c r="F7" s="478"/>
      <c r="G7" s="478"/>
      <c r="H7" s="478"/>
      <c r="I7" s="478"/>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0"/>
      <c r="B8" s="182" t="s">
        <v>323</v>
      </c>
      <c r="C8" s="480" t="s">
        <v>324</v>
      </c>
      <c r="D8" s="0"/>
      <c r="E8" s="0"/>
      <c r="F8" s="0"/>
      <c r="G8" s="93"/>
      <c r="H8" s="93"/>
      <c r="I8" s="93"/>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0"/>
      <c r="B9" s="419" t="s">
        <v>325</v>
      </c>
      <c r="C9" s="481" t="s">
        <v>326</v>
      </c>
      <c r="D9" s="0"/>
      <c r="E9" s="0"/>
      <c r="F9" s="0"/>
      <c r="G9" s="93"/>
      <c r="H9" s="93"/>
      <c r="I9" s="93"/>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0"/>
      <c r="B10" s="482" t="s">
        <v>327</v>
      </c>
      <c r="C10" s="483"/>
      <c r="D10" s="0"/>
      <c r="E10" s="0"/>
      <c r="F10" s="0"/>
      <c r="G10" s="93"/>
      <c r="H10" s="93"/>
      <c r="I10" s="93"/>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0"/>
      <c r="B11" s="482" t="s">
        <v>328</v>
      </c>
      <c r="C11" s="483"/>
      <c r="D11" s="0"/>
      <c r="E11" s="0"/>
      <c r="F11" s="0"/>
      <c r="G11" s="93"/>
      <c r="H11" s="93"/>
      <c r="I11" s="93"/>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0"/>
      <c r="B12" s="482" t="s">
        <v>329</v>
      </c>
      <c r="C12" s="483"/>
      <c r="D12" s="0"/>
      <c r="E12" s="0"/>
      <c r="F12" s="0"/>
      <c r="G12" s="93"/>
      <c r="H12" s="93"/>
      <c r="I12" s="93"/>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482" t="s">
        <v>330</v>
      </c>
      <c r="C13" s="483"/>
      <c r="D13" s="0"/>
      <c r="E13" s="0"/>
      <c r="F13" s="0"/>
      <c r="G13" s="93"/>
      <c r="H13" s="93"/>
      <c r="I13" s="93"/>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484" t="s">
        <v>331</v>
      </c>
      <c r="C14" s="117" t="n">
        <f aca="false">SUM(C10:C13)</f>
        <v>0</v>
      </c>
      <c r="D14" s="0"/>
      <c r="E14" s="0"/>
      <c r="F14" s="0"/>
      <c r="G14" s="93"/>
      <c r="H14" s="93"/>
      <c r="I14" s="93"/>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false" outlineLevel="0" collapsed="false">
      <c r="A15" s="0"/>
      <c r="B15" s="482" t="s">
        <v>332</v>
      </c>
      <c r="C15" s="485"/>
      <c r="D15" s="0"/>
      <c r="E15" s="0"/>
      <c r="F15" s="0"/>
      <c r="G15" s="93"/>
      <c r="H15" s="93"/>
      <c r="I15" s="93"/>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0"/>
      <c r="B16" s="486" t="s">
        <v>333</v>
      </c>
      <c r="C16" s="140" t="str">
        <f aca="false">IF(C15&gt;0,C14/C15,"Please enter all information.")</f>
        <v>Please enter all information.</v>
      </c>
      <c r="D16" s="0"/>
      <c r="E16" s="0"/>
      <c r="F16" s="0"/>
      <c r="G16" s="93"/>
      <c r="H16" s="93"/>
      <c r="I16" s="93"/>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95" customFormat="true" ht="13.8" hidden="false" customHeight="false" outlineLevel="0" collapsed="false">
      <c r="B17" s="487"/>
      <c r="C17" s="488"/>
    </row>
    <row r="18" customFormat="false" ht="14.4" hidden="false" customHeight="true" outlineLevel="0" collapsed="false">
      <c r="B18" s="104" t="s">
        <v>334</v>
      </c>
      <c r="C18" s="104"/>
      <c r="D18" s="0"/>
      <c r="E18" s="0"/>
      <c r="G18" s="0"/>
      <c r="H18" s="0"/>
      <c r="I18" s="0"/>
    </row>
    <row r="19" s="93" customFormat="true" ht="14.4" hidden="false" customHeight="false" outlineLevel="0" collapsed="false">
      <c r="A19" s="95"/>
      <c r="B19" s="182" t="s">
        <v>323</v>
      </c>
      <c r="C19" s="480" t="s">
        <v>324</v>
      </c>
      <c r="D19" s="0"/>
      <c r="E19" s="0"/>
      <c r="F19" s="95"/>
    </row>
    <row r="20" s="93" customFormat="true" ht="13.8" hidden="false" customHeight="false" outlineLevel="0" collapsed="false">
      <c r="A20" s="95"/>
      <c r="B20" s="419" t="s">
        <v>325</v>
      </c>
      <c r="C20" s="481" t="s">
        <v>335</v>
      </c>
      <c r="D20" s="0"/>
      <c r="E20" s="0"/>
      <c r="F20" s="95"/>
    </row>
    <row r="21" s="93" customFormat="true" ht="13.8" hidden="false" customHeight="false" outlineLevel="0" collapsed="false">
      <c r="A21" s="95"/>
      <c r="B21" s="482" t="s">
        <v>336</v>
      </c>
      <c r="C21" s="483"/>
      <c r="D21" s="0"/>
      <c r="E21" s="0"/>
      <c r="F21" s="95"/>
    </row>
    <row r="22" s="93" customFormat="true" ht="13.8" hidden="false" customHeight="false" outlineLevel="0" collapsed="false">
      <c r="A22" s="95"/>
      <c r="B22" s="482" t="s">
        <v>337</v>
      </c>
      <c r="C22" s="483"/>
      <c r="D22" s="0"/>
      <c r="E22" s="0"/>
      <c r="F22" s="95"/>
    </row>
    <row r="23" s="93" customFormat="true" ht="13.8" hidden="false" customHeight="false" outlineLevel="0" collapsed="false">
      <c r="A23" s="95"/>
      <c r="B23" s="482" t="s">
        <v>338</v>
      </c>
      <c r="C23" s="483"/>
      <c r="D23" s="0"/>
      <c r="E23" s="0"/>
      <c r="F23" s="95"/>
    </row>
    <row r="24" s="93" customFormat="true" ht="13.8" hidden="false" customHeight="false" outlineLevel="0" collapsed="false">
      <c r="A24" s="95"/>
      <c r="B24" s="484" t="s">
        <v>339</v>
      </c>
      <c r="C24" s="117" t="n">
        <f aca="false">SUM(C21:C23)</f>
        <v>0</v>
      </c>
      <c r="D24" s="0"/>
      <c r="E24" s="0"/>
      <c r="F24" s="95"/>
    </row>
    <row r="25" s="93" customFormat="true" ht="13.8" hidden="false" customHeight="false" outlineLevel="0" collapsed="false">
      <c r="A25" s="95"/>
      <c r="B25" s="482" t="s">
        <v>340</v>
      </c>
      <c r="C25" s="485"/>
      <c r="D25" s="0"/>
      <c r="E25" s="0"/>
      <c r="F25" s="95"/>
    </row>
    <row r="26" s="93" customFormat="true" ht="13.8" hidden="false" customHeight="false" outlineLevel="0" collapsed="false">
      <c r="A26" s="95"/>
      <c r="B26" s="486" t="s">
        <v>333</v>
      </c>
      <c r="C26" s="140" t="str">
        <f aca="false">IF(C25&gt;0,C24/C25,"Please enter all information.")</f>
        <v>Please enter all information.</v>
      </c>
      <c r="D26" s="0"/>
      <c r="E26" s="0"/>
      <c r="F26" s="95"/>
    </row>
    <row r="27" s="93" customFormat="true" ht="13.8" hidden="false" customHeight="false" outlineLevel="0" collapsed="false">
      <c r="A27" s="95"/>
      <c r="B27" s="95"/>
      <c r="C27" s="95"/>
      <c r="D27" s="0"/>
      <c r="E27" s="0"/>
      <c r="F27" s="95"/>
    </row>
    <row r="28" s="93" customFormat="true" ht="13.8" hidden="false" customHeight="false" outlineLevel="0" collapsed="false">
      <c r="A28" s="95"/>
      <c r="B28" s="95"/>
      <c r="C28" s="95"/>
      <c r="D28" s="0"/>
      <c r="E28" s="0"/>
      <c r="F28" s="95"/>
    </row>
    <row r="29" s="93" customFormat="true" ht="13.8" hidden="false" customHeight="false" outlineLevel="0" collapsed="false">
      <c r="A29" s="95"/>
      <c r="B29" s="95"/>
      <c r="C29" s="489" t="s">
        <v>341</v>
      </c>
      <c r="D29" s="489"/>
      <c r="E29" s="489"/>
      <c r="F29" s="95"/>
    </row>
    <row r="30" s="93" customFormat="true" ht="13.8" hidden="false" customHeight="false" outlineLevel="0" collapsed="false">
      <c r="A30" s="95"/>
      <c r="C30" s="489"/>
      <c r="D30" s="489"/>
      <c r="E30" s="489"/>
      <c r="F30" s="95"/>
    </row>
    <row r="31" s="93" customFormat="true" ht="13.8" hidden="false" customHeight="false" outlineLevel="0" collapsed="false">
      <c r="A31" s="95"/>
      <c r="C31" s="489"/>
      <c r="D31" s="489"/>
      <c r="E31" s="489"/>
      <c r="F31" s="95"/>
    </row>
  </sheetData>
  <sheetProtection sheet="true" password="cc3d" objects="true" scenarios="true" formatColumns="false" formatRows="false"/>
  <mergeCells count="3">
    <mergeCell ref="B7:C7"/>
    <mergeCell ref="B18:C18"/>
    <mergeCell ref="C29:E31"/>
  </mergeCells>
  <conditionalFormatting sqref="C25">
    <cfRule type="expression" priority="2" aboveAverage="0" equalAverage="0" bottom="0" percent="0" rank="0" text="" dxfId="0">
      <formula>LEN(TRIM(C25))=0</formula>
    </cfRule>
  </conditionalFormatting>
  <conditionalFormatting sqref="C21:C23,C15,C10:C13">
    <cfRule type="expression" priority="3" aboveAverage="0" equalAverage="0" bottom="0" percent="0" rank="0" text="" dxfId="1">
      <formula>LEN(TRIM(C21))=0</formula>
    </cfRule>
  </conditionalFormatting>
  <hyperlinks>
    <hyperlink ref="C29" location="'3a-SalesForecastYear1'!A1" display="Return to Sales Forecast Year 1"/>
  </hyperlinks>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1:Q156"/>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40" workbookViewId="0">
      <selection pane="topLeft" activeCell="B2" activeCellId="0" sqref="B2"/>
    </sheetView>
  </sheetViews>
  <sheetFormatPr defaultRowHeight="13.8"/>
  <cols>
    <col collapsed="false" hidden="false" max="1" min="1" style="93" width="9.11336032388664"/>
    <col collapsed="false" hidden="false" max="2" min="2" style="93" width="27.663967611336"/>
    <col collapsed="false" hidden="false" max="3" min="3" style="93" width="17.4372469635628"/>
    <col collapsed="false" hidden="false" max="10" min="4" style="93" width="9.66396761133603"/>
    <col collapsed="false" hidden="false" max="11" min="11" style="93" width="10.4412955465587"/>
    <col collapsed="false" hidden="false" max="14" min="12" style="93" width="9.66396761133603"/>
    <col collapsed="false" hidden="false" max="15" min="15" style="93" width="9.33198380566802"/>
    <col collapsed="false" hidden="false" max="1025" min="16" style="93" width="9.11336032388664"/>
  </cols>
  <sheetData>
    <row r="1" customFormat="false" ht="13.8" hidden="false" customHeight="false" outlineLevel="0" collapsed="false">
      <c r="B1" s="0"/>
      <c r="C1" s="0"/>
      <c r="D1" s="0"/>
      <c r="E1" s="0"/>
      <c r="F1" s="0"/>
      <c r="G1" s="0"/>
      <c r="H1" s="0"/>
      <c r="I1" s="0"/>
      <c r="J1" s="0"/>
      <c r="K1" s="0"/>
      <c r="L1" s="0"/>
      <c r="M1" s="0"/>
      <c r="N1" s="0"/>
      <c r="O1" s="0"/>
      <c r="P1" s="0"/>
      <c r="Q1" s="0"/>
    </row>
    <row r="2" customFormat="false" ht="13.8" hidden="false" customHeight="false" outlineLevel="0" collapsed="false">
      <c r="B2" s="97" t="s">
        <v>342</v>
      </c>
      <c r="C2" s="97"/>
      <c r="D2" s="97"/>
      <c r="E2" s="97"/>
      <c r="F2" s="0"/>
      <c r="G2" s="0"/>
      <c r="H2" s="0"/>
      <c r="I2" s="0"/>
      <c r="J2" s="0"/>
      <c r="K2" s="0"/>
      <c r="L2" s="0"/>
      <c r="M2" s="0"/>
      <c r="N2" s="0"/>
      <c r="O2" s="0"/>
      <c r="P2" s="0"/>
      <c r="Q2" s="0"/>
    </row>
    <row r="3" customFormat="false" ht="13.8" hidden="false" customHeight="false" outlineLevel="0" collapsed="false">
      <c r="B3" s="446"/>
      <c r="C3" s="95"/>
      <c r="D3" s="0"/>
      <c r="E3" s="0"/>
      <c r="F3" s="0"/>
      <c r="G3" s="0"/>
      <c r="H3" s="0"/>
      <c r="I3" s="0"/>
      <c r="J3" s="0"/>
      <c r="K3" s="0"/>
      <c r="L3" s="0"/>
      <c r="M3" s="0"/>
      <c r="N3" s="0"/>
      <c r="O3" s="0"/>
      <c r="P3" s="0"/>
      <c r="Q3" s="0"/>
    </row>
    <row r="4" customFormat="false" ht="13.8" hidden="false" customHeight="false" outlineLevel="0" collapsed="false">
      <c r="B4" s="164" t="s">
        <v>8</v>
      </c>
      <c r="C4" s="447" t="s">
        <v>9</v>
      </c>
      <c r="D4" s="0"/>
      <c r="E4" s="490" t="s">
        <v>343</v>
      </c>
      <c r="F4" s="490"/>
      <c r="G4" s="490"/>
      <c r="H4" s="0"/>
      <c r="I4" s="0"/>
      <c r="J4" s="0"/>
      <c r="K4" s="0"/>
      <c r="L4" s="0"/>
      <c r="M4" s="0"/>
      <c r="N4" s="0"/>
      <c r="O4" s="0"/>
      <c r="P4" s="0"/>
      <c r="Q4" s="0"/>
    </row>
    <row r="5" customFormat="false" ht="13.8" hidden="false" customHeight="false" outlineLevel="0" collapsed="false">
      <c r="B5" s="241" t="str">
        <f aca="false">IF(ISBLANK(Directions!C6), "Owner", Directions!C6)</f>
        <v>Owner</v>
      </c>
      <c r="C5" s="448" t="str">
        <f aca="false">IF(ISBLANK(Directions!D6), "Company 1", Directions!D6)</f>
        <v>Company 1</v>
      </c>
      <c r="D5" s="0"/>
      <c r="E5" s="490"/>
      <c r="F5" s="490"/>
      <c r="G5" s="490"/>
      <c r="H5" s="0"/>
      <c r="I5" s="0"/>
      <c r="J5" s="0"/>
      <c r="K5" s="0"/>
      <c r="L5" s="0"/>
      <c r="M5" s="0"/>
      <c r="N5" s="0"/>
      <c r="O5" s="0"/>
      <c r="P5" s="0"/>
      <c r="Q5" s="0"/>
    </row>
    <row r="6" customFormat="false" ht="13.8" hidden="false" customHeight="false" outlineLevel="0" collapsed="false">
      <c r="B6" s="0"/>
      <c r="C6" s="0"/>
      <c r="D6" s="0"/>
      <c r="E6" s="490"/>
      <c r="F6" s="490"/>
      <c r="G6" s="490"/>
      <c r="H6" s="0"/>
      <c r="I6" s="0"/>
      <c r="J6" s="0"/>
      <c r="K6" s="0"/>
      <c r="L6" s="0"/>
      <c r="M6" s="0"/>
      <c r="N6" s="0"/>
      <c r="O6" s="0"/>
      <c r="P6" s="0"/>
      <c r="Q6" s="0"/>
    </row>
    <row r="7" customFormat="false" ht="13.8" hidden="false" customHeight="false" outlineLevel="0" collapsed="false">
      <c r="B7" s="0"/>
      <c r="C7" s="0"/>
      <c r="D7" s="0"/>
      <c r="E7" s="0"/>
      <c r="F7" s="0"/>
      <c r="G7" s="0"/>
      <c r="H7" s="0"/>
      <c r="I7" s="0"/>
      <c r="J7" s="0"/>
      <c r="K7" s="0"/>
      <c r="L7" s="0"/>
      <c r="M7" s="0"/>
      <c r="N7" s="0"/>
      <c r="O7" s="0"/>
      <c r="P7" s="0"/>
      <c r="Q7" s="0"/>
    </row>
    <row r="8" customFormat="false" ht="14.4" hidden="false" customHeight="true" outlineLevel="0" collapsed="false">
      <c r="B8" s="104" t="s">
        <v>46</v>
      </c>
      <c r="C8" s="104"/>
      <c r="D8" s="331"/>
      <c r="E8" s="331"/>
      <c r="F8" s="331"/>
      <c r="G8" s="331"/>
      <c r="H8" s="331"/>
      <c r="I8" s="331"/>
      <c r="J8" s="331"/>
      <c r="K8" s="331"/>
      <c r="L8" s="331"/>
      <c r="M8" s="331"/>
      <c r="N8" s="331"/>
      <c r="O8" s="331"/>
      <c r="P8" s="331"/>
      <c r="Q8" s="0"/>
    </row>
    <row r="9" customFormat="false" ht="14.4" hidden="false" customHeight="false" outlineLevel="0" collapsed="false">
      <c r="B9" s="491" t="s">
        <v>344</v>
      </c>
      <c r="C9" s="450" t="n">
        <f aca="false">CommLoan</f>
        <v>0</v>
      </c>
      <c r="D9" s="331"/>
      <c r="E9" s="331"/>
      <c r="F9" s="331"/>
      <c r="G9" s="331"/>
      <c r="H9" s="331"/>
      <c r="I9" s="331"/>
      <c r="J9" s="331"/>
      <c r="K9" s="331"/>
      <c r="L9" s="331"/>
      <c r="M9" s="331"/>
      <c r="N9" s="331"/>
      <c r="O9" s="331"/>
      <c r="P9" s="331"/>
      <c r="Q9" s="0"/>
    </row>
    <row r="10" customFormat="false" ht="13.8" hidden="false" customHeight="false" outlineLevel="0" collapsed="false">
      <c r="B10" s="492" t="s">
        <v>345</v>
      </c>
      <c r="C10" s="493" t="n">
        <f aca="false">'1-StartingPoint'!E37</f>
        <v>0.09</v>
      </c>
      <c r="D10" s="331"/>
      <c r="E10" s="331"/>
      <c r="F10" s="331"/>
      <c r="G10" s="331"/>
      <c r="H10" s="331"/>
      <c r="I10" s="331"/>
      <c r="J10" s="331"/>
      <c r="K10" s="331"/>
      <c r="L10" s="331"/>
      <c r="M10" s="331"/>
      <c r="N10" s="331"/>
      <c r="O10" s="331"/>
      <c r="P10" s="331"/>
      <c r="Q10" s="0"/>
    </row>
    <row r="11" customFormat="false" ht="13.8" hidden="false" customHeight="false" outlineLevel="0" collapsed="false">
      <c r="B11" s="492" t="s">
        <v>346</v>
      </c>
      <c r="C11" s="494" t="n">
        <f aca="false">'1-StartingPoint'!F37</f>
        <v>84</v>
      </c>
      <c r="D11" s="331"/>
      <c r="E11" s="331"/>
      <c r="F11" s="331"/>
      <c r="G11" s="331"/>
      <c r="H11" s="331"/>
      <c r="I11" s="331"/>
      <c r="J11" s="331"/>
      <c r="K11" s="331"/>
      <c r="L11" s="331"/>
      <c r="M11" s="331"/>
      <c r="N11" s="331"/>
      <c r="O11" s="331"/>
      <c r="P11" s="331"/>
      <c r="Q11" s="0"/>
    </row>
    <row r="12" customFormat="false" ht="13.8" hidden="false" customHeight="false" outlineLevel="0" collapsed="false">
      <c r="B12" s="492" t="s">
        <v>347</v>
      </c>
      <c r="C12" s="495" t="n">
        <f aca="false">ABS(PMT(C10/12,C11,C9))</f>
        <v>0</v>
      </c>
      <c r="D12" s="331"/>
      <c r="E12" s="331"/>
      <c r="F12" s="331"/>
      <c r="G12" s="331"/>
      <c r="H12" s="331"/>
      <c r="I12" s="331"/>
      <c r="J12" s="331"/>
      <c r="K12" s="331"/>
      <c r="L12" s="331"/>
      <c r="M12" s="331"/>
      <c r="N12" s="331"/>
      <c r="O12" s="331"/>
      <c r="P12" s="331"/>
      <c r="Q12" s="0"/>
    </row>
    <row r="13" customFormat="false" ht="13.8" hidden="false" customHeight="false" outlineLevel="0" collapsed="false">
      <c r="B13" s="120"/>
      <c r="C13" s="496" t="str">
        <f aca="false">'3a-SalesForecastYear1'!$C$16</f>
        <v>Month 1</v>
      </c>
      <c r="D13" s="496" t="str">
        <f aca="false">'3a-SalesForecastYear1'!$D$16</f>
        <v>Month 2</v>
      </c>
      <c r="E13" s="496" t="str">
        <f aca="false">'3a-SalesForecastYear1'!$E$16</f>
        <v>Month 3</v>
      </c>
      <c r="F13" s="496" t="str">
        <f aca="false">'3a-SalesForecastYear1'!$F$16</f>
        <v>Month 4</v>
      </c>
      <c r="G13" s="496" t="str">
        <f aca="false">'3a-SalesForecastYear1'!$G$16</f>
        <v>Month 5</v>
      </c>
      <c r="H13" s="496" t="str">
        <f aca="false">'3a-SalesForecastYear1'!$H$16</f>
        <v>Month 6</v>
      </c>
      <c r="I13" s="496" t="str">
        <f aca="false">'3a-SalesForecastYear1'!$I$16</f>
        <v>Month 7</v>
      </c>
      <c r="J13" s="496" t="str">
        <f aca="false">'3a-SalesForecastYear1'!$J$16</f>
        <v>Month 8</v>
      </c>
      <c r="K13" s="496" t="str">
        <f aca="false">'3a-SalesForecastYear1'!$K$16</f>
        <v>Month 9</v>
      </c>
      <c r="L13" s="496" t="str">
        <f aca="false">'3a-SalesForecastYear1'!$L$16</f>
        <v>Month 10</v>
      </c>
      <c r="M13" s="496" t="str">
        <f aca="false">'3a-SalesForecastYear1'!$M$16</f>
        <v>Month 11</v>
      </c>
      <c r="N13" s="496" t="str">
        <f aca="false">'3a-SalesForecastYear1'!$N$16</f>
        <v>Month 12</v>
      </c>
      <c r="O13" s="496" t="s">
        <v>39</v>
      </c>
      <c r="P13" s="102"/>
      <c r="Q13" s="102"/>
    </row>
    <row r="14" customFormat="false" ht="13.8" hidden="false" customHeight="false" outlineLevel="0" collapsed="false">
      <c r="B14" s="120" t="s">
        <v>269</v>
      </c>
      <c r="C14" s="113"/>
      <c r="D14" s="113"/>
      <c r="E14" s="113"/>
      <c r="F14" s="113"/>
      <c r="G14" s="113"/>
      <c r="H14" s="113"/>
      <c r="I14" s="113"/>
      <c r="J14" s="113"/>
      <c r="K14" s="113"/>
      <c r="L14" s="113"/>
      <c r="M14" s="113"/>
      <c r="N14" s="113"/>
      <c r="O14" s="113"/>
      <c r="P14" s="102"/>
      <c r="Q14" s="102"/>
    </row>
    <row r="15" customFormat="false" ht="13.8" hidden="false" customHeight="false" outlineLevel="0" collapsed="false">
      <c r="B15" s="455" t="s">
        <v>160</v>
      </c>
      <c r="C15" s="370" t="n">
        <f aca="false">IF($C$11&lt;1,0,ABS(IPMT($C$10/12,1,$C$11,$C$9)))</f>
        <v>0</v>
      </c>
      <c r="D15" s="370" t="n">
        <f aca="false">IF($C$11&lt;2,0,ABS(IPMT($C$10/12,2,$C$11,$C$9)))</f>
        <v>0</v>
      </c>
      <c r="E15" s="370" t="n">
        <f aca="false">IF($C$11&lt;3,0,ABS(IPMT($C$10/12,3,$C$11,$C$9)))</f>
        <v>0</v>
      </c>
      <c r="F15" s="370" t="n">
        <f aca="false">IF($C$11&lt;4,0,ABS(IPMT($C$10/12,4,$C$11,$C$9)))</f>
        <v>0</v>
      </c>
      <c r="G15" s="370" t="n">
        <f aca="false">IF($C$11&lt;5,0,ABS(IPMT($C$10/12,5,$C$11,$C$9)))</f>
        <v>0</v>
      </c>
      <c r="H15" s="370" t="n">
        <f aca="false">IF($C$11&lt;6,0,ABS(IPMT($C$10/12,6,$C$11,$C$9)))</f>
        <v>0</v>
      </c>
      <c r="I15" s="370" t="n">
        <f aca="false">IF($C$11&lt;7,0,ABS(IPMT($C$10/12,7,$C$11,$C$9)))</f>
        <v>0</v>
      </c>
      <c r="J15" s="370" t="n">
        <f aca="false">IF($C$11&lt;8,0,ABS(IPMT($C$10/12,8,$C$11,$C$9)))</f>
        <v>0</v>
      </c>
      <c r="K15" s="370" t="n">
        <f aca="false">IF($C$11&lt;9,0,ABS(IPMT($C$10/12,9,$C$11,$C$9)))</f>
        <v>0</v>
      </c>
      <c r="L15" s="370" t="n">
        <f aca="false">IF($C$11&lt;10,0,ABS(IPMT($C$10/12,10,$C$11,$C$9)))</f>
        <v>0</v>
      </c>
      <c r="M15" s="370" t="n">
        <f aca="false">IF($C$11&lt;11,0,ABS(IPMT($C$10/12,11,$C$11,$C$9)))</f>
        <v>0</v>
      </c>
      <c r="N15" s="370" t="n">
        <f aca="false">IF($C$11&lt;12,0,ABS(IPMT($C$10/12,12,$C$11,$C$9)))</f>
        <v>0</v>
      </c>
      <c r="O15" s="497" t="n">
        <f aca="false">SUM(C15:N15)</f>
        <v>0</v>
      </c>
      <c r="P15" s="102"/>
      <c r="Q15" s="102"/>
    </row>
    <row r="16" customFormat="false" ht="13.8" hidden="false" customHeight="false" outlineLevel="0" collapsed="false">
      <c r="B16" s="455" t="s">
        <v>348</v>
      </c>
      <c r="C16" s="370" t="n">
        <f aca="false">IF($C$11&lt;1,0,ABS(PPMT($C$10/12,1,$C$11,$C$9)))</f>
        <v>0</v>
      </c>
      <c r="D16" s="370" t="n">
        <f aca="false">IF($C$11&lt;2,0,ABS(PPMT($C$10/12,2,$C$11,$C$9)))</f>
        <v>0</v>
      </c>
      <c r="E16" s="370" t="n">
        <f aca="false">IF($C$11&lt;3,0,ABS(PPMT($C$10/12,3,$C$11,$C$9)))</f>
        <v>0</v>
      </c>
      <c r="F16" s="370" t="n">
        <f aca="false">IF($C$11&lt;4,0,ABS(PPMT($C$10/12,4,$C$11,$C$9)))</f>
        <v>0</v>
      </c>
      <c r="G16" s="370" t="n">
        <f aca="false">IF($C$11&lt;5,0,ABS(PPMT($C$10/12,5,$C$11,$C$9)))</f>
        <v>0</v>
      </c>
      <c r="H16" s="370" t="n">
        <f aca="false">IF($C$11&lt;6,0,ABS(PPMT($C$10/12,6,$C$11,$C$9)))</f>
        <v>0</v>
      </c>
      <c r="I16" s="370" t="n">
        <f aca="false">IF($C$11&lt;7,0,ABS(PPMT($C$10/12,7,$C$11,$C$9)))</f>
        <v>0</v>
      </c>
      <c r="J16" s="370" t="n">
        <f aca="false">IF($C$11&lt;8,0,ABS(PPMT($C$10/12,8,$C$11,$C$9)))</f>
        <v>0</v>
      </c>
      <c r="K16" s="370" t="n">
        <f aca="false">IF($C$11&lt;9,0,ABS(PPMT($C$10/12,9,$C$11,$C$9)))</f>
        <v>0</v>
      </c>
      <c r="L16" s="370" t="n">
        <f aca="false">IF($C$11&lt;10,0,ABS(PPMT($C$10/12,10,$C$11,$C$9)))</f>
        <v>0</v>
      </c>
      <c r="M16" s="370" t="n">
        <f aca="false">IF($C$11&lt;11,0,ABS(PPMT($C$10/12,11,$C$11,$C$9)))</f>
        <v>0</v>
      </c>
      <c r="N16" s="370" t="n">
        <f aca="false">IF($C$11&lt;12,0,ABS(PPMT($C$10/12,12,$C$11,$C$9)))</f>
        <v>0</v>
      </c>
      <c r="O16" s="497" t="n">
        <f aca="false">SUM(C16:N16)</f>
        <v>0</v>
      </c>
      <c r="P16" s="102"/>
      <c r="Q16" s="102"/>
    </row>
    <row r="17" customFormat="false" ht="13.8" hidden="false" customHeight="false" outlineLevel="0" collapsed="false">
      <c r="B17" s="455" t="s">
        <v>349</v>
      </c>
      <c r="C17" s="498" t="n">
        <f aca="false">$C$9-C16</f>
        <v>0</v>
      </c>
      <c r="D17" s="498" t="n">
        <f aca="false">C17-D16</f>
        <v>0</v>
      </c>
      <c r="E17" s="498" t="n">
        <f aca="false">D17-E16</f>
        <v>0</v>
      </c>
      <c r="F17" s="498" t="n">
        <f aca="false">E17-F16</f>
        <v>0</v>
      </c>
      <c r="G17" s="498" t="n">
        <f aca="false">F17-G16</f>
        <v>0</v>
      </c>
      <c r="H17" s="498" t="n">
        <f aca="false">G17-H16</f>
        <v>0</v>
      </c>
      <c r="I17" s="498" t="n">
        <f aca="false">H17-I16</f>
        <v>0</v>
      </c>
      <c r="J17" s="498" t="n">
        <f aca="false">I17-J16</f>
        <v>0</v>
      </c>
      <c r="K17" s="498" t="n">
        <f aca="false">J17-K16</f>
        <v>0</v>
      </c>
      <c r="L17" s="498" t="n">
        <f aca="false">K17-L16</f>
        <v>0</v>
      </c>
      <c r="M17" s="498" t="n">
        <f aca="false">L17-M16</f>
        <v>0</v>
      </c>
      <c r="N17" s="498" t="n">
        <f aca="false">M17-N16</f>
        <v>0</v>
      </c>
      <c r="O17" s="499"/>
      <c r="P17" s="102"/>
      <c r="Q17" s="102"/>
    </row>
    <row r="18" customFormat="false" ht="13.8" hidden="false" customHeight="false" outlineLevel="0" collapsed="false">
      <c r="B18" s="120" t="s">
        <v>270</v>
      </c>
      <c r="C18" s="500"/>
      <c r="D18" s="500"/>
      <c r="E18" s="500"/>
      <c r="F18" s="500"/>
      <c r="G18" s="500"/>
      <c r="H18" s="500"/>
      <c r="I18" s="500"/>
      <c r="J18" s="500"/>
      <c r="K18" s="500"/>
      <c r="L18" s="500"/>
      <c r="M18" s="500"/>
      <c r="N18" s="500"/>
      <c r="O18" s="500"/>
      <c r="P18" s="102"/>
      <c r="Q18" s="102"/>
    </row>
    <row r="19" customFormat="false" ht="13.8" hidden="false" customHeight="false" outlineLevel="0" collapsed="false">
      <c r="B19" s="455" t="s">
        <v>160</v>
      </c>
      <c r="C19" s="370" t="n">
        <f aca="false">IF($C$11&lt;13,0,ABS(IPMT($C$10/12,13,$C$11,$C$9)))</f>
        <v>0</v>
      </c>
      <c r="D19" s="370" t="n">
        <f aca="false">IF($C$11&lt;14,0,ABS(IPMT($C$10/12,14,$C$11,$C$9)))</f>
        <v>0</v>
      </c>
      <c r="E19" s="370" t="n">
        <f aca="false">IF($C$11&lt;15,0,ABS(IPMT($C$10/12,15,$C$11,$C$9)))</f>
        <v>0</v>
      </c>
      <c r="F19" s="370" t="n">
        <f aca="false">IF($C$11&lt;16,0,ABS(IPMT($C$10/12,16,$C$11,$C$9)))</f>
        <v>0</v>
      </c>
      <c r="G19" s="370" t="n">
        <f aca="false">IF($C$11&lt;17,0,ABS(IPMT($C$10/12,17,$C$11,$C$9)))</f>
        <v>0</v>
      </c>
      <c r="H19" s="370" t="n">
        <f aca="false">IF($C$11&lt;18,0,ABS(IPMT($C$10/12,18,$C$11,$C$9)))</f>
        <v>0</v>
      </c>
      <c r="I19" s="370" t="n">
        <f aca="false">IF($C$11&lt;19,0,ABS(IPMT($C$10/12,19,$C$11,$C$9)))</f>
        <v>0</v>
      </c>
      <c r="J19" s="370" t="n">
        <f aca="false">IF($C$11&lt;20,0,ABS(IPMT($C$10/12,20,$C$11,$C$9)))</f>
        <v>0</v>
      </c>
      <c r="K19" s="370" t="n">
        <f aca="false">IF($C$11&lt;21,0,ABS(IPMT($C$10/12,21,$C$11,$C$9)))</f>
        <v>0</v>
      </c>
      <c r="L19" s="370" t="n">
        <f aca="false">IF($C$11&lt;22,0,ABS(IPMT($C$10/12,22,$C$11,$C$9)))</f>
        <v>0</v>
      </c>
      <c r="M19" s="370" t="n">
        <f aca="false">IF($C$11&lt;23,0,ABS(IPMT($C$10/12,23,$C$11,$C$9)))</f>
        <v>0</v>
      </c>
      <c r="N19" s="370" t="n">
        <f aca="false">IF($C$11&lt;24,0,ABS(IPMT($C$10/12,24,$C$11,$C$9)))</f>
        <v>0</v>
      </c>
      <c r="O19" s="497" t="n">
        <f aca="false">SUM(C19:N19)</f>
        <v>0</v>
      </c>
      <c r="P19" s="102"/>
      <c r="Q19" s="102"/>
    </row>
    <row r="20" customFormat="false" ht="13.8" hidden="false" customHeight="false" outlineLevel="0" collapsed="false">
      <c r="B20" s="455" t="s">
        <v>348</v>
      </c>
      <c r="C20" s="370" t="n">
        <f aca="false">IF($C$11&lt;13,0,ABS(PPMT($C$10/12,13,$C$11,$C$9)))</f>
        <v>0</v>
      </c>
      <c r="D20" s="370" t="n">
        <f aca="false">IF($C$11&lt;14,0,ABS(PPMT($C$10/12,14,$C$11,$C$9)))</f>
        <v>0</v>
      </c>
      <c r="E20" s="370" t="n">
        <f aca="false">IF($C$11&lt;15,0,ABS(PPMT($C$10/12,15,$C$11,$C$9)))</f>
        <v>0</v>
      </c>
      <c r="F20" s="370" t="n">
        <f aca="false">IF($C$11&lt;16,0,ABS(PPMT($C$10/12,16,$C$11,$C$9)))</f>
        <v>0</v>
      </c>
      <c r="G20" s="370" t="n">
        <f aca="false">IF($C$11&lt;17,0,ABS(PPMT($C$10/12,17,$C$11,$C$9)))</f>
        <v>0</v>
      </c>
      <c r="H20" s="370" t="n">
        <f aca="false">IF($C$11&lt;18,0,ABS(PPMT($C$10/12,18,$C$11,$C$9)))</f>
        <v>0</v>
      </c>
      <c r="I20" s="370" t="n">
        <f aca="false">IF($C$11&lt;19,0,ABS(PPMT($C$10/12,19,$C$11,$C$9)))</f>
        <v>0</v>
      </c>
      <c r="J20" s="370" t="n">
        <f aca="false">IF($C$11&lt;20,0,ABS(PPMT($C$10/12,20,$C$11,$C$9)))</f>
        <v>0</v>
      </c>
      <c r="K20" s="370" t="n">
        <f aca="false">IF($C$11&lt;21,0,ABS(PPMT($C$10/12,21,$C$11,$C$9)))</f>
        <v>0</v>
      </c>
      <c r="L20" s="370" t="n">
        <f aca="false">IF($C$11&lt;22,0,ABS(PPMT($C$10/12,22,$C$11,$C$9)))</f>
        <v>0</v>
      </c>
      <c r="M20" s="370" t="n">
        <f aca="false">IF($C$11&lt;23,0,ABS(PPMT($C$10/12,23,$C$11,$C$9)))</f>
        <v>0</v>
      </c>
      <c r="N20" s="370" t="n">
        <f aca="false">IF($C$11&lt;24,0,ABS(PPMT($C$10/12,24,$C$11,$C$9)))</f>
        <v>0</v>
      </c>
      <c r="O20" s="497" t="n">
        <f aca="false">SUM(C20:N20)</f>
        <v>0</v>
      </c>
      <c r="P20" s="102"/>
      <c r="Q20" s="102"/>
    </row>
    <row r="21" customFormat="false" ht="13.8" hidden="false" customHeight="false" outlineLevel="0" collapsed="false">
      <c r="B21" s="455" t="s">
        <v>349</v>
      </c>
      <c r="C21" s="498" t="n">
        <f aca="false">N17-C20</f>
        <v>0</v>
      </c>
      <c r="D21" s="498" t="n">
        <f aca="false">C21-D20</f>
        <v>0</v>
      </c>
      <c r="E21" s="498" t="n">
        <f aca="false">D21-E20</f>
        <v>0</v>
      </c>
      <c r="F21" s="498" t="n">
        <f aca="false">E21-F20</f>
        <v>0</v>
      </c>
      <c r="G21" s="498" t="n">
        <f aca="false">F21-G20</f>
        <v>0</v>
      </c>
      <c r="H21" s="498" t="n">
        <f aca="false">G21-H20</f>
        <v>0</v>
      </c>
      <c r="I21" s="498" t="n">
        <f aca="false">H21-I20</f>
        <v>0</v>
      </c>
      <c r="J21" s="498" t="n">
        <f aca="false">I21-J20</f>
        <v>0</v>
      </c>
      <c r="K21" s="498" t="n">
        <f aca="false">J21-K20</f>
        <v>0</v>
      </c>
      <c r="L21" s="498" t="n">
        <f aca="false">K21-L20</f>
        <v>0</v>
      </c>
      <c r="M21" s="498" t="n">
        <f aca="false">L21-M20</f>
        <v>0</v>
      </c>
      <c r="N21" s="498" t="n">
        <f aca="false">M21-N20</f>
        <v>0</v>
      </c>
      <c r="O21" s="499"/>
      <c r="P21" s="102"/>
      <c r="Q21" s="102"/>
    </row>
    <row r="22" customFormat="false" ht="13.8" hidden="false" customHeight="false" outlineLevel="0" collapsed="false">
      <c r="B22" s="120" t="s">
        <v>271</v>
      </c>
      <c r="C22" s="500"/>
      <c r="D22" s="500"/>
      <c r="E22" s="500"/>
      <c r="F22" s="500"/>
      <c r="G22" s="500"/>
      <c r="H22" s="500"/>
      <c r="I22" s="500"/>
      <c r="J22" s="500"/>
      <c r="K22" s="500"/>
      <c r="L22" s="500"/>
      <c r="M22" s="500"/>
      <c r="N22" s="500"/>
      <c r="O22" s="500"/>
      <c r="P22" s="102"/>
      <c r="Q22" s="102"/>
    </row>
    <row r="23" customFormat="false" ht="13.8" hidden="false" customHeight="false" outlineLevel="0" collapsed="false">
      <c r="B23" s="455" t="s">
        <v>160</v>
      </c>
      <c r="C23" s="370" t="n">
        <f aca="false">IF($C$11&lt;25,0,ABS(IPMT($C$10/12,25,$C$11,$C$9)))</f>
        <v>0</v>
      </c>
      <c r="D23" s="370" t="n">
        <f aca="false">IF($C$11&lt;26,0,ABS(IPMT($C$10/12,26,$C$11,$C$9)))</f>
        <v>0</v>
      </c>
      <c r="E23" s="370" t="n">
        <f aca="false">IF($C$11&lt;27,0,ABS(IPMT($C$10/12,27,$C$11,$C$9)))</f>
        <v>0</v>
      </c>
      <c r="F23" s="370" t="n">
        <f aca="false">IF($C$11&lt;28,0,ABS(IPMT($C$10/12,28,$C$11,$C$9)))</f>
        <v>0</v>
      </c>
      <c r="G23" s="370" t="n">
        <f aca="false">IF($C$11&lt;29,0,ABS(IPMT($C$10/12,29,$C$11,$C$9)))</f>
        <v>0</v>
      </c>
      <c r="H23" s="370" t="n">
        <f aca="false">IF($C$11&lt;30,0,ABS(IPMT($C$10/12,30,$C$11,$C$9)))</f>
        <v>0</v>
      </c>
      <c r="I23" s="370" t="n">
        <f aca="false">IF($C$11&lt;31,0,ABS(IPMT($C$10/12,31,$C$11,$C$9)))</f>
        <v>0</v>
      </c>
      <c r="J23" s="370" t="n">
        <f aca="false">IF($C$11&lt;32,0,ABS(IPMT($C$10/12,32,$C$11,$C$9)))</f>
        <v>0</v>
      </c>
      <c r="K23" s="370" t="n">
        <f aca="false">IF($C$11&lt;33,0,ABS(IPMT($C$10/12,33,$C$11,$C$9)))</f>
        <v>0</v>
      </c>
      <c r="L23" s="370" t="n">
        <f aca="false">IF($C$11&lt;34,0,ABS(IPMT($C$10/12,34,$C$11,$C$9)))</f>
        <v>0</v>
      </c>
      <c r="M23" s="370" t="n">
        <f aca="false">IF($C$11&lt;35,0,ABS(IPMT($C$10/12,35,$C$11,$C$9)))</f>
        <v>0</v>
      </c>
      <c r="N23" s="370" t="n">
        <f aca="false">IF($C$11&lt;36,0,ABS(IPMT($C$10/12,36,$C$11,$C$9)))</f>
        <v>0</v>
      </c>
      <c r="O23" s="497" t="n">
        <f aca="false">SUM(C23:N23)</f>
        <v>0</v>
      </c>
      <c r="P23" s="102"/>
      <c r="Q23" s="102"/>
    </row>
    <row r="24" customFormat="false" ht="13.8" hidden="false" customHeight="false" outlineLevel="0" collapsed="false">
      <c r="B24" s="455" t="s">
        <v>348</v>
      </c>
      <c r="C24" s="370" t="n">
        <f aca="false">IF($C$11&lt;25,0,ABS(PPMT($C$10/12,25,$C$11,$C$9)))</f>
        <v>0</v>
      </c>
      <c r="D24" s="370" t="n">
        <f aca="false">IF($C$11&lt;26,0,ABS(PPMT($C$10/12,26,$C$11,$C$9)))</f>
        <v>0</v>
      </c>
      <c r="E24" s="370" t="n">
        <f aca="false">IF($C$11&lt;27,0,ABS(PPMT($C$10/12,27,$C$11,$C$9)))</f>
        <v>0</v>
      </c>
      <c r="F24" s="370" t="n">
        <f aca="false">IF($C$11&lt;28,0,ABS(PPMT($C$10/12,28,$C$11,$C$9)))</f>
        <v>0</v>
      </c>
      <c r="G24" s="370" t="n">
        <f aca="false">IF($C$11&lt;29,0,ABS(PPMT($C$10/12,29,$C$11,$C$9)))</f>
        <v>0</v>
      </c>
      <c r="H24" s="370" t="n">
        <f aca="false">IF($C$11&lt;30,0,ABS(PPMT($C$10/12,30,$C$11,$C$9)))</f>
        <v>0</v>
      </c>
      <c r="I24" s="370" t="n">
        <f aca="false">IF($C$11&lt;31,0,ABS(PPMT($C$10/12,31,$C$11,$C$9)))</f>
        <v>0</v>
      </c>
      <c r="J24" s="370" t="n">
        <f aca="false">IF($C$11&lt;32,0,ABS(PPMT($C$10/12,32,$C$11,$C$9)))</f>
        <v>0</v>
      </c>
      <c r="K24" s="370" t="n">
        <f aca="false">IF($C$11&lt;33,0,ABS(PPMT($C$10/12,33,$C$11,$C$9)))</f>
        <v>0</v>
      </c>
      <c r="L24" s="370" t="n">
        <f aca="false">IF($C$11&lt;34,0,ABS(PPMT($C$10/12,34,$C$11,$C$9)))</f>
        <v>0</v>
      </c>
      <c r="M24" s="370" t="n">
        <f aca="false">IF($C$11&lt;35,0,ABS(PPMT($C$10/12,35,$C$11,$C$9)))</f>
        <v>0</v>
      </c>
      <c r="N24" s="370" t="n">
        <f aca="false">IF($C$11&lt;36,0,ABS(PPMT($C$10/12,36,$C$11,$C$9)))</f>
        <v>0</v>
      </c>
      <c r="O24" s="497" t="n">
        <f aca="false">SUM(C24:N24)</f>
        <v>0</v>
      </c>
      <c r="P24" s="102"/>
      <c r="Q24" s="102"/>
    </row>
    <row r="25" customFormat="false" ht="13.8" hidden="false" customHeight="false" outlineLevel="0" collapsed="false">
      <c r="B25" s="455" t="s">
        <v>349</v>
      </c>
      <c r="C25" s="498" t="n">
        <f aca="false">N21-C24</f>
        <v>0</v>
      </c>
      <c r="D25" s="498" t="n">
        <f aca="false">C25-D24</f>
        <v>0</v>
      </c>
      <c r="E25" s="498" t="n">
        <f aca="false">D25-E24</f>
        <v>0</v>
      </c>
      <c r="F25" s="498" t="n">
        <f aca="false">E25-F24</f>
        <v>0</v>
      </c>
      <c r="G25" s="498" t="n">
        <f aca="false">F25-G24</f>
        <v>0</v>
      </c>
      <c r="H25" s="498" t="n">
        <f aca="false">G25-H24</f>
        <v>0</v>
      </c>
      <c r="I25" s="498" t="n">
        <f aca="false">H25-I24</f>
        <v>0</v>
      </c>
      <c r="J25" s="498" t="n">
        <f aca="false">I25-J24</f>
        <v>0</v>
      </c>
      <c r="K25" s="498" t="n">
        <f aca="false">J25-K24</f>
        <v>0</v>
      </c>
      <c r="L25" s="498" t="n">
        <f aca="false">K25-L24</f>
        <v>0</v>
      </c>
      <c r="M25" s="498" t="n">
        <f aca="false">L25-M24</f>
        <v>0</v>
      </c>
      <c r="N25" s="498" t="n">
        <f aca="false">M25-N24</f>
        <v>0</v>
      </c>
      <c r="O25" s="499"/>
      <c r="P25" s="102"/>
      <c r="Q25" s="102"/>
    </row>
    <row r="26" customFormat="false" ht="13.8" hidden="false" customHeight="false" outlineLevel="0" collapsed="false">
      <c r="B26" s="94"/>
      <c r="C26" s="94"/>
      <c r="D26" s="102"/>
      <c r="E26" s="102"/>
      <c r="F26" s="102"/>
      <c r="G26" s="102"/>
      <c r="H26" s="102"/>
      <c r="I26" s="102"/>
      <c r="J26" s="102"/>
      <c r="K26" s="102"/>
      <c r="L26" s="102"/>
      <c r="M26" s="102"/>
      <c r="N26" s="102"/>
      <c r="O26" s="102"/>
      <c r="P26" s="102"/>
      <c r="Q26" s="102"/>
    </row>
    <row r="27" customFormat="false" ht="13.8" hidden="false" customHeight="false" outlineLevel="0" collapsed="false">
      <c r="B27" s="94"/>
      <c r="C27" s="94"/>
      <c r="D27" s="469"/>
      <c r="E27" s="102"/>
      <c r="F27" s="102"/>
      <c r="G27" s="102"/>
      <c r="H27" s="102"/>
      <c r="I27" s="102"/>
      <c r="J27" s="102"/>
      <c r="K27" s="102"/>
      <c r="L27" s="102"/>
      <c r="M27" s="102"/>
      <c r="N27" s="102"/>
      <c r="O27" s="102"/>
      <c r="P27" s="102"/>
      <c r="Q27" s="102"/>
    </row>
    <row r="28" customFormat="false" ht="14.4" hidden="false" customHeight="true" outlineLevel="0" collapsed="false">
      <c r="B28" s="104" t="s">
        <v>47</v>
      </c>
      <c r="C28" s="104"/>
      <c r="D28" s="102"/>
      <c r="E28" s="102"/>
      <c r="F28" s="102"/>
      <c r="G28" s="102"/>
      <c r="H28" s="102"/>
      <c r="I28" s="102"/>
      <c r="J28" s="102"/>
      <c r="K28" s="102"/>
      <c r="L28" s="102"/>
      <c r="M28" s="102"/>
      <c r="N28" s="102"/>
      <c r="O28" s="102"/>
      <c r="P28" s="102"/>
      <c r="Q28" s="102"/>
    </row>
    <row r="29" customFormat="false" ht="14.4" hidden="false" customHeight="false" outlineLevel="0" collapsed="false">
      <c r="B29" s="286" t="s">
        <v>344</v>
      </c>
      <c r="C29" s="501" t="n">
        <f aca="false">CommMortgage</f>
        <v>0</v>
      </c>
      <c r="D29" s="102"/>
      <c r="E29" s="102"/>
      <c r="F29" s="102"/>
      <c r="G29" s="102"/>
      <c r="H29" s="102"/>
      <c r="I29" s="102"/>
      <c r="J29" s="102"/>
      <c r="K29" s="102"/>
      <c r="L29" s="102"/>
      <c r="M29" s="102"/>
      <c r="N29" s="102"/>
      <c r="O29" s="102"/>
      <c r="P29" s="102"/>
      <c r="Q29" s="102"/>
    </row>
    <row r="30" customFormat="false" ht="13.8" hidden="false" customHeight="false" outlineLevel="0" collapsed="false">
      <c r="B30" s="120" t="s">
        <v>345</v>
      </c>
      <c r="C30" s="502" t="n">
        <f aca="false">'1-StartingPoint'!E38</f>
        <v>0.09</v>
      </c>
      <c r="D30" s="102"/>
      <c r="E30" s="102"/>
      <c r="F30" s="102"/>
      <c r="G30" s="102"/>
      <c r="H30" s="102"/>
      <c r="I30" s="102"/>
      <c r="J30" s="102"/>
      <c r="K30" s="102"/>
      <c r="L30" s="102"/>
      <c r="M30" s="102"/>
      <c r="N30" s="102"/>
      <c r="O30" s="102"/>
      <c r="P30" s="102"/>
      <c r="Q30" s="102"/>
    </row>
    <row r="31" customFormat="false" ht="13.8" hidden="false" customHeight="false" outlineLevel="0" collapsed="false">
      <c r="B31" s="120" t="s">
        <v>346</v>
      </c>
      <c r="C31" s="503" t="n">
        <f aca="false">'1-StartingPoint'!F38</f>
        <v>240</v>
      </c>
      <c r="D31" s="102"/>
      <c r="E31" s="102"/>
      <c r="F31" s="102"/>
      <c r="G31" s="102"/>
      <c r="H31" s="102"/>
      <c r="I31" s="102"/>
      <c r="J31" s="102"/>
      <c r="K31" s="102"/>
      <c r="L31" s="102"/>
      <c r="M31" s="102"/>
      <c r="N31" s="102"/>
      <c r="O31" s="102"/>
      <c r="P31" s="102"/>
      <c r="Q31" s="102"/>
    </row>
    <row r="32" customFormat="false" ht="13.8" hidden="false" customHeight="false" outlineLevel="0" collapsed="false">
      <c r="B32" s="120" t="s">
        <v>347</v>
      </c>
      <c r="C32" s="504" t="n">
        <f aca="false">ABS(PMT(C30/12,C31,C29))</f>
        <v>0</v>
      </c>
      <c r="D32" s="102"/>
      <c r="E32" s="102"/>
      <c r="F32" s="102"/>
      <c r="G32" s="102"/>
      <c r="H32" s="102"/>
      <c r="I32" s="102"/>
      <c r="J32" s="102"/>
      <c r="K32" s="102"/>
      <c r="L32" s="102"/>
      <c r="M32" s="102"/>
      <c r="N32" s="102"/>
      <c r="O32" s="102"/>
      <c r="P32" s="102"/>
      <c r="Q32" s="102"/>
    </row>
    <row r="33" customFormat="false" ht="13.8" hidden="false" customHeight="false" outlineLevel="0" collapsed="false">
      <c r="B33" s="120"/>
      <c r="C33" s="496" t="str">
        <f aca="false">'3a-SalesForecastYear1'!$C$16</f>
        <v>Month 1</v>
      </c>
      <c r="D33" s="496" t="str">
        <f aca="false">'3a-SalesForecastYear1'!$D$16</f>
        <v>Month 2</v>
      </c>
      <c r="E33" s="496" t="str">
        <f aca="false">'3a-SalesForecastYear1'!$E$16</f>
        <v>Month 3</v>
      </c>
      <c r="F33" s="496" t="str">
        <f aca="false">'3a-SalesForecastYear1'!$F$16</f>
        <v>Month 4</v>
      </c>
      <c r="G33" s="496" t="str">
        <f aca="false">'3a-SalesForecastYear1'!$G$16</f>
        <v>Month 5</v>
      </c>
      <c r="H33" s="496" t="str">
        <f aca="false">'3a-SalesForecastYear1'!$H$16</f>
        <v>Month 6</v>
      </c>
      <c r="I33" s="496" t="str">
        <f aca="false">'3a-SalesForecastYear1'!$I$16</f>
        <v>Month 7</v>
      </c>
      <c r="J33" s="496" t="str">
        <f aca="false">'3a-SalesForecastYear1'!$J$16</f>
        <v>Month 8</v>
      </c>
      <c r="K33" s="496" t="str">
        <f aca="false">'3a-SalesForecastYear1'!$K$16</f>
        <v>Month 9</v>
      </c>
      <c r="L33" s="496" t="str">
        <f aca="false">'3a-SalesForecastYear1'!$L$16</f>
        <v>Month 10</v>
      </c>
      <c r="M33" s="496" t="str">
        <f aca="false">'3a-SalesForecastYear1'!$M$16</f>
        <v>Month 11</v>
      </c>
      <c r="N33" s="496" t="str">
        <f aca="false">'3a-SalesForecastYear1'!$N$16</f>
        <v>Month 12</v>
      </c>
      <c r="O33" s="496" t="s">
        <v>39</v>
      </c>
      <c r="P33" s="102"/>
      <c r="Q33" s="102"/>
    </row>
    <row r="34" customFormat="false" ht="13.8" hidden="false" customHeight="false" outlineLevel="0" collapsed="false">
      <c r="B34" s="120" t="s">
        <v>269</v>
      </c>
      <c r="C34" s="113"/>
      <c r="D34" s="113"/>
      <c r="E34" s="113"/>
      <c r="F34" s="113"/>
      <c r="G34" s="113"/>
      <c r="H34" s="113"/>
      <c r="I34" s="113"/>
      <c r="J34" s="113"/>
      <c r="K34" s="113"/>
      <c r="L34" s="113"/>
      <c r="M34" s="113"/>
      <c r="N34" s="113"/>
      <c r="O34" s="113"/>
      <c r="P34" s="102"/>
      <c r="Q34" s="102"/>
    </row>
    <row r="35" customFormat="false" ht="13.8" hidden="false" customHeight="false" outlineLevel="0" collapsed="false">
      <c r="B35" s="455" t="s">
        <v>160</v>
      </c>
      <c r="C35" s="370" t="n">
        <f aca="false">ABS(IPMT($C$30/12,1,$C$31,$C$29))</f>
        <v>0</v>
      </c>
      <c r="D35" s="370" t="n">
        <f aca="false">ABS(IPMT($C$30/12,2,$C$31,$C$29))</f>
        <v>0</v>
      </c>
      <c r="E35" s="370" t="n">
        <f aca="false">ABS(IPMT($C$30/12,3,$C$31,$C$29))</f>
        <v>0</v>
      </c>
      <c r="F35" s="370" t="n">
        <f aca="false">ABS(IPMT($C$30/12,4,$C$31,$C$29))</f>
        <v>0</v>
      </c>
      <c r="G35" s="370" t="n">
        <f aca="false">ABS(IPMT($C$30/12,5,$C$31,$C$29))</f>
        <v>0</v>
      </c>
      <c r="H35" s="370" t="n">
        <f aca="false">ABS(IPMT($C$30/12,6,$C$31,$C$29))</f>
        <v>0</v>
      </c>
      <c r="I35" s="370" t="n">
        <f aca="false">ABS(IPMT($C$30/12,7,$C$31,$C$29))</f>
        <v>0</v>
      </c>
      <c r="J35" s="370" t="n">
        <f aca="false">ABS(IPMT($C$30/12,8,$C$31,$C$29))</f>
        <v>0</v>
      </c>
      <c r="K35" s="370" t="n">
        <f aca="false">ABS(IPMT($C$30/12,9,$C$31,$C$29))</f>
        <v>0</v>
      </c>
      <c r="L35" s="370" t="n">
        <f aca="false">ABS(IPMT($C$30/12,10,$C$31,$C$29))</f>
        <v>0</v>
      </c>
      <c r="M35" s="370" t="n">
        <f aca="false">ABS(IPMT($C$30/12,11,$C$31,$C$29))</f>
        <v>0</v>
      </c>
      <c r="N35" s="370" t="n">
        <f aca="false">ABS(IPMT($C$30/12,12,$C$31,$C$29))</f>
        <v>0</v>
      </c>
      <c r="O35" s="497" t="n">
        <f aca="false">SUM(C35:N35)</f>
        <v>0</v>
      </c>
      <c r="P35" s="102"/>
      <c r="Q35" s="102"/>
    </row>
    <row r="36" customFormat="false" ht="13.8" hidden="false" customHeight="false" outlineLevel="0" collapsed="false">
      <c r="B36" s="455" t="s">
        <v>348</v>
      </c>
      <c r="C36" s="370" t="n">
        <f aca="false">ABS(PPMT($C$30/12,1,$C$31,$C$29))</f>
        <v>0</v>
      </c>
      <c r="D36" s="370" t="n">
        <f aca="false">ABS(PPMT($C$30/12,2,$C$31,$C$29))</f>
        <v>0</v>
      </c>
      <c r="E36" s="370" t="n">
        <f aca="false">ABS(PPMT($C$30/12,3,$C$31,$C$29))</f>
        <v>0</v>
      </c>
      <c r="F36" s="370" t="n">
        <f aca="false">ABS(PPMT($C$30/12,4,$C$31,$C$29))</f>
        <v>0</v>
      </c>
      <c r="G36" s="370" t="n">
        <f aca="false">ABS(PPMT($C$30/12,5,$C$31,$C$29))</f>
        <v>0</v>
      </c>
      <c r="H36" s="370" t="n">
        <f aca="false">ABS(PPMT($C$30/12,6,$C$31,$C$29))</f>
        <v>0</v>
      </c>
      <c r="I36" s="370" t="n">
        <f aca="false">ABS(PPMT($C$30/12,7,$C$31,$C$29))</f>
        <v>0</v>
      </c>
      <c r="J36" s="370" t="n">
        <f aca="false">ABS(PPMT($C$30/12,8,$C$31,$C$29))</f>
        <v>0</v>
      </c>
      <c r="K36" s="370" t="n">
        <f aca="false">ABS(PPMT($C$30/12,9,$C$31,$C$29))</f>
        <v>0</v>
      </c>
      <c r="L36" s="370" t="n">
        <f aca="false">ABS(PPMT($C$30/12,10,$C$31,$C$29))</f>
        <v>0</v>
      </c>
      <c r="M36" s="370" t="n">
        <f aca="false">ABS(PPMT($C$30/12,11,$C$31,$C$29))</f>
        <v>0</v>
      </c>
      <c r="N36" s="370" t="n">
        <f aca="false">ABS(PPMT($C$30/12,12,$C$31,$C$29))</f>
        <v>0</v>
      </c>
      <c r="O36" s="497" t="n">
        <f aca="false">SUM(C36:N36)</f>
        <v>0</v>
      </c>
      <c r="P36" s="102"/>
      <c r="Q36" s="102"/>
    </row>
    <row r="37" customFormat="false" ht="13.8" hidden="false" customHeight="false" outlineLevel="0" collapsed="false">
      <c r="B37" s="455" t="s">
        <v>349</v>
      </c>
      <c r="C37" s="498" t="n">
        <f aca="false">$C$29-C36</f>
        <v>0</v>
      </c>
      <c r="D37" s="498" t="n">
        <f aca="false">C37-D36</f>
        <v>0</v>
      </c>
      <c r="E37" s="498" t="n">
        <f aca="false">D37-E36</f>
        <v>0</v>
      </c>
      <c r="F37" s="498" t="n">
        <f aca="false">E37-F36</f>
        <v>0</v>
      </c>
      <c r="G37" s="498" t="n">
        <f aca="false">F37-G36</f>
        <v>0</v>
      </c>
      <c r="H37" s="498" t="n">
        <f aca="false">G37-H36</f>
        <v>0</v>
      </c>
      <c r="I37" s="498" t="n">
        <f aca="false">H37-I36</f>
        <v>0</v>
      </c>
      <c r="J37" s="498" t="n">
        <f aca="false">I37-J36</f>
        <v>0</v>
      </c>
      <c r="K37" s="498" t="n">
        <f aca="false">J37-K36</f>
        <v>0</v>
      </c>
      <c r="L37" s="498" t="n">
        <f aca="false">K37-L36</f>
        <v>0</v>
      </c>
      <c r="M37" s="498" t="n">
        <f aca="false">L37-M36</f>
        <v>0</v>
      </c>
      <c r="N37" s="498" t="n">
        <f aca="false">M37-N36</f>
        <v>0</v>
      </c>
      <c r="O37" s="499"/>
      <c r="P37" s="102"/>
      <c r="Q37" s="102"/>
    </row>
    <row r="38" customFormat="false" ht="13.8" hidden="false" customHeight="false" outlineLevel="0" collapsed="false">
      <c r="B38" s="120" t="s">
        <v>270</v>
      </c>
      <c r="C38" s="500"/>
      <c r="D38" s="500"/>
      <c r="E38" s="500"/>
      <c r="F38" s="500"/>
      <c r="G38" s="500"/>
      <c r="H38" s="500"/>
      <c r="I38" s="500"/>
      <c r="J38" s="500"/>
      <c r="K38" s="500"/>
      <c r="L38" s="500"/>
      <c r="M38" s="500"/>
      <c r="N38" s="500"/>
      <c r="O38" s="500"/>
      <c r="P38" s="102"/>
      <c r="Q38" s="102"/>
    </row>
    <row r="39" customFormat="false" ht="13.8" hidden="false" customHeight="false" outlineLevel="0" collapsed="false">
      <c r="B39" s="455" t="s">
        <v>160</v>
      </c>
      <c r="C39" s="370" t="n">
        <f aca="false">IF($C$31&lt;13,0,ABS(IPMT($C$30/12,13,$C$31,$C$29)))</f>
        <v>0</v>
      </c>
      <c r="D39" s="370" t="n">
        <f aca="false">IF($C$31&lt;14,0,ABS(IPMT($C$30/12,14,$C$31,$C$29)))</f>
        <v>0</v>
      </c>
      <c r="E39" s="370" t="n">
        <f aca="false">IF($C$31&lt;15,0,ABS(IPMT($C$30/12,15,$C$31,$C$29)))</f>
        <v>0</v>
      </c>
      <c r="F39" s="370" t="n">
        <f aca="false">IF($C$31&lt;16,0,ABS(IPMT($C$30/12,16,$C$31,$C$29)))</f>
        <v>0</v>
      </c>
      <c r="G39" s="370" t="n">
        <f aca="false">IF($C$31&lt;17,0,ABS(IPMT($C$30/12,17,$C$31,$C$29)))</f>
        <v>0</v>
      </c>
      <c r="H39" s="370" t="n">
        <f aca="false">IF($C$31&lt;18,0,ABS(IPMT($C$30/12,18,$C$31,$C$29)))</f>
        <v>0</v>
      </c>
      <c r="I39" s="370" t="n">
        <f aca="false">IF($C$31&lt;19,0,ABS(IPMT($C$30/12,19,$C$31,$C$29)))</f>
        <v>0</v>
      </c>
      <c r="J39" s="370" t="n">
        <f aca="false">IF($C$31&lt;20,0,ABS(IPMT($C$30/12,20,$C$31,$C$29)))</f>
        <v>0</v>
      </c>
      <c r="K39" s="370" t="n">
        <f aca="false">IF($C$31&lt;21,0,ABS(IPMT($C$30/12,21,$C$31,$C$29)))</f>
        <v>0</v>
      </c>
      <c r="L39" s="370" t="n">
        <f aca="false">IF($C$31&lt;22,0,ABS(IPMT($C$30/12,22,$C$31,$C$29)))</f>
        <v>0</v>
      </c>
      <c r="M39" s="370" t="n">
        <f aca="false">IF($C$31&lt;23,0,ABS(IPMT($C$30/23,11,$C$31,$C$29)))</f>
        <v>0</v>
      </c>
      <c r="N39" s="370" t="n">
        <f aca="false">IF($C$31&lt;24,0,ABS(IPMT($C$30/12,24,$C$31,$C$29)))</f>
        <v>0</v>
      </c>
      <c r="O39" s="497" t="n">
        <f aca="false">SUM(C39:N39)</f>
        <v>0</v>
      </c>
      <c r="P39" s="102"/>
      <c r="Q39" s="102"/>
    </row>
    <row r="40" customFormat="false" ht="13.8" hidden="false" customHeight="false" outlineLevel="0" collapsed="false">
      <c r="B40" s="455" t="s">
        <v>348</v>
      </c>
      <c r="C40" s="370" t="n">
        <f aca="false">IF($C$31&lt;13,0,ABS(PPMT($C$30/12,13,$C$31,$C$29)))</f>
        <v>0</v>
      </c>
      <c r="D40" s="370" t="n">
        <f aca="false">IF($C$31&lt;14,0,ABS(PPMT($C$30/12,14,$C$31,$C$29)))</f>
        <v>0</v>
      </c>
      <c r="E40" s="370" t="n">
        <f aca="false">IF($C$31&lt;13,0,ABS(PPMT($C$30/12,15,$C$31,$C$29)))</f>
        <v>0</v>
      </c>
      <c r="F40" s="370" t="n">
        <f aca="false">IF($C$31&lt;16,0,ABS(PPMT($C$30/12,16,$C$31,$C$29)))</f>
        <v>0</v>
      </c>
      <c r="G40" s="370" t="n">
        <f aca="false">IF($C$31&lt;17,0,ABS(PPMT($C$30/12,17,$C$31,$C$29)))</f>
        <v>0</v>
      </c>
      <c r="H40" s="370" t="n">
        <f aca="false">IF($C$31&lt;18,0,ABS(PPMT($C$30/12,18,$C$31,$C$29)))</f>
        <v>0</v>
      </c>
      <c r="I40" s="370" t="n">
        <f aca="false">IF($C$31&lt;19,0,ABS(PPMT($C$30/12,19,$C$31,$C$29)))</f>
        <v>0</v>
      </c>
      <c r="J40" s="370" t="n">
        <f aca="false">IF($C$31&lt;20,0,ABS(PPMT($C$30/12,20,$C$31,$C$29)))</f>
        <v>0</v>
      </c>
      <c r="K40" s="370" t="n">
        <f aca="false">IF($C$31&lt;21,0,ABS(PPMT($C$30/12,21,$C$31,$C$29)))</f>
        <v>0</v>
      </c>
      <c r="L40" s="370" t="n">
        <f aca="false">IF($C$31&lt;22,0,ABS(PPMT($C$30/12,22,$C$31,$C$29)))</f>
        <v>0</v>
      </c>
      <c r="M40" s="370" t="n">
        <f aca="false">IF($C$31&lt;23,0,ABS(PPMT($C$30/12,23,$C$31,$C$29)))</f>
        <v>0</v>
      </c>
      <c r="N40" s="370" t="n">
        <f aca="false">IF($C$31&lt;24,0,ABS(PPMT($C$30/12,24,$C$31,$C$29)))</f>
        <v>0</v>
      </c>
      <c r="O40" s="497" t="n">
        <f aca="false">SUM(C40:N40)</f>
        <v>0</v>
      </c>
      <c r="P40" s="102"/>
      <c r="Q40" s="102"/>
    </row>
    <row r="41" customFormat="false" ht="13.8" hidden="false" customHeight="false" outlineLevel="0" collapsed="false">
      <c r="B41" s="455" t="s">
        <v>349</v>
      </c>
      <c r="C41" s="498" t="n">
        <f aca="false">N37-C40</f>
        <v>0</v>
      </c>
      <c r="D41" s="498" t="n">
        <f aca="false">C41-D40</f>
        <v>0</v>
      </c>
      <c r="E41" s="498" t="n">
        <f aca="false">D41-E40</f>
        <v>0</v>
      </c>
      <c r="F41" s="498" t="n">
        <f aca="false">E41-F40</f>
        <v>0</v>
      </c>
      <c r="G41" s="498" t="n">
        <f aca="false">F41-G40</f>
        <v>0</v>
      </c>
      <c r="H41" s="498" t="n">
        <f aca="false">G41-H40</f>
        <v>0</v>
      </c>
      <c r="I41" s="498" t="n">
        <f aca="false">H41-I40</f>
        <v>0</v>
      </c>
      <c r="J41" s="498" t="n">
        <f aca="false">I41-J40</f>
        <v>0</v>
      </c>
      <c r="K41" s="498" t="n">
        <f aca="false">J41-K40</f>
        <v>0</v>
      </c>
      <c r="L41" s="498" t="n">
        <f aca="false">K41-L40</f>
        <v>0</v>
      </c>
      <c r="M41" s="498" t="n">
        <f aca="false">L41-M40</f>
        <v>0</v>
      </c>
      <c r="N41" s="498" t="n">
        <f aca="false">M41-N40</f>
        <v>0</v>
      </c>
      <c r="O41" s="499"/>
      <c r="P41" s="102"/>
      <c r="Q41" s="102"/>
    </row>
    <row r="42" customFormat="false" ht="13.8" hidden="false" customHeight="false" outlineLevel="0" collapsed="false">
      <c r="B42" s="120" t="s">
        <v>271</v>
      </c>
      <c r="C42" s="500"/>
      <c r="D42" s="500"/>
      <c r="E42" s="500"/>
      <c r="F42" s="500"/>
      <c r="G42" s="500"/>
      <c r="H42" s="500"/>
      <c r="I42" s="500"/>
      <c r="J42" s="500"/>
      <c r="K42" s="500"/>
      <c r="L42" s="500"/>
      <c r="M42" s="500"/>
      <c r="N42" s="500"/>
      <c r="O42" s="500"/>
      <c r="P42" s="102"/>
      <c r="Q42" s="102"/>
    </row>
    <row r="43" customFormat="false" ht="13.8" hidden="false" customHeight="false" outlineLevel="0" collapsed="false">
      <c r="B43" s="455" t="s">
        <v>160</v>
      </c>
      <c r="C43" s="370" t="n">
        <f aca="false">IF($C$31&lt;25,0,ABS(IPMT($C$30/12,25,$C$31,$C$29)))</f>
        <v>0</v>
      </c>
      <c r="D43" s="370" t="n">
        <f aca="false">IF($C$31&lt;26,0,ABS(IPMT($C$30/12,26,$C$31,$C$29)))</f>
        <v>0</v>
      </c>
      <c r="E43" s="370" t="n">
        <f aca="false">IF($C$31&lt;27,0,ABS(IPMT($C$30/12,27,$C$31,$C$29)))</f>
        <v>0</v>
      </c>
      <c r="F43" s="370" t="n">
        <f aca="false">IF($C$31&lt;28,0,ABS(IPMT($C$30/12,28,$C$31,$C$29)))</f>
        <v>0</v>
      </c>
      <c r="G43" s="370" t="n">
        <f aca="false">IF($C$31&lt;29,0,ABS(IPMT($C$30/12,29,$C$31,$C$29)))</f>
        <v>0</v>
      </c>
      <c r="H43" s="370" t="n">
        <f aca="false">IF($C$31&lt;29,0,ABS(IPMT($C$30/12,30,$C$31,$C$29)))</f>
        <v>0</v>
      </c>
      <c r="I43" s="370" t="n">
        <f aca="false">IF($C$31&lt;30,0,ABS(IPMT($C$30/12,31,$C$31,$C$29)))</f>
        <v>0</v>
      </c>
      <c r="J43" s="370" t="n">
        <f aca="false">IF($C$31&lt;31,0,ABS(IPMT($C$30/12,32,$C$31,$C$29)))</f>
        <v>0</v>
      </c>
      <c r="K43" s="370" t="n">
        <f aca="false">IF($C$31&lt;32,0,ABS(IPMT($C$30/12,33,$C$31,$C$29)))</f>
        <v>0</v>
      </c>
      <c r="L43" s="370" t="n">
        <f aca="false">IF($C$31&lt;33,0,ABS(IPMT($C$30/12,34,$C$31,$C$29)))</f>
        <v>0</v>
      </c>
      <c r="M43" s="370" t="n">
        <f aca="false">IF($C$31&lt;34,0,ABS(IPMT($C$30/12,35,$C$31,$C$29)))</f>
        <v>0</v>
      </c>
      <c r="N43" s="370" t="n">
        <f aca="false">IF($C$31&lt;35,0,ABS(IPMT($C$30/12,36,$C$31,$C$29)))</f>
        <v>0</v>
      </c>
      <c r="O43" s="497" t="n">
        <f aca="false">SUM(C43:N43)</f>
        <v>0</v>
      </c>
      <c r="P43" s="102"/>
      <c r="Q43" s="102"/>
    </row>
    <row r="44" customFormat="false" ht="13.8" hidden="false" customHeight="false" outlineLevel="0" collapsed="false">
      <c r="B44" s="455" t="s">
        <v>348</v>
      </c>
      <c r="C44" s="370" t="n">
        <f aca="false">IF($C$31&lt;25,0,ABS(PPMT($C$30/12,25,$C$31,$C$29)))</f>
        <v>0</v>
      </c>
      <c r="D44" s="370" t="n">
        <f aca="false">IF($C$31&lt;26,0,ABS(PPMT($C$30/12,26,$C$31,$C$29)))</f>
        <v>0</v>
      </c>
      <c r="E44" s="370" t="n">
        <f aca="false">IF($C$31&lt;27,0,ABS(PPMT($C$30/12,27,$C$31,$C$29)))</f>
        <v>0</v>
      </c>
      <c r="F44" s="370" t="n">
        <f aca="false">IF($C$31&lt;28,0,ABS(PPMT($C$30/12,28,$C$31,$C$29)))</f>
        <v>0</v>
      </c>
      <c r="G44" s="370" t="n">
        <f aca="false">IF($C$31&lt;28,0,ABS(PPMT($C$30/12,29,$C$31,$C$29)))</f>
        <v>0</v>
      </c>
      <c r="H44" s="370" t="n">
        <f aca="false">IF($C$31&lt;29,0,ABS(PPMT($C$30/12,30,$C$31,$C$29)))</f>
        <v>0</v>
      </c>
      <c r="I44" s="370" t="n">
        <f aca="false">IF($C$31&lt;30,0,ABS(PPMT($C$30/12,31,$C$31,$C$29)))</f>
        <v>0</v>
      </c>
      <c r="J44" s="370" t="n">
        <f aca="false">IF($C$31&lt;31,0,ABS(PPMT($C$30/12,32,$C$31,$C$29)))</f>
        <v>0</v>
      </c>
      <c r="K44" s="370" t="n">
        <f aca="false">IF($C$31&lt;32,0,ABS(PPMT($C$30/12,33,$C$31,$C$29)))</f>
        <v>0</v>
      </c>
      <c r="L44" s="370" t="n">
        <f aca="false">IF($C$31&lt;33,0,ABS(PPMT($C$30/12,34,$C$31,$C$29)))</f>
        <v>0</v>
      </c>
      <c r="M44" s="370" t="n">
        <f aca="false">IF($C$31&lt;34,0,ABS(PPMT($C$30/12,35,$C$31,$C$29)))</f>
        <v>0</v>
      </c>
      <c r="N44" s="370" t="n">
        <f aca="false">IF($C$31&lt;35,0,ABS(PPMT($C$30/12,36,$C$31,$C$29)))</f>
        <v>0</v>
      </c>
      <c r="O44" s="497" t="n">
        <f aca="false">SUM(C44:N44)</f>
        <v>0</v>
      </c>
      <c r="P44" s="102"/>
      <c r="Q44" s="102"/>
    </row>
    <row r="45" customFormat="false" ht="13.8" hidden="false" customHeight="false" outlineLevel="0" collapsed="false">
      <c r="B45" s="455" t="s">
        <v>349</v>
      </c>
      <c r="C45" s="498" t="n">
        <f aca="false">N41-C44</f>
        <v>0</v>
      </c>
      <c r="D45" s="498" t="n">
        <f aca="false">C45-D44</f>
        <v>0</v>
      </c>
      <c r="E45" s="498" t="n">
        <f aca="false">D45-E44</f>
        <v>0</v>
      </c>
      <c r="F45" s="498" t="n">
        <f aca="false">E45-F44</f>
        <v>0</v>
      </c>
      <c r="G45" s="498" t="n">
        <f aca="false">F45-G44</f>
        <v>0</v>
      </c>
      <c r="H45" s="498" t="n">
        <f aca="false">G45-H44</f>
        <v>0</v>
      </c>
      <c r="I45" s="498" t="n">
        <f aca="false">H45-I44</f>
        <v>0</v>
      </c>
      <c r="J45" s="498" t="n">
        <f aca="false">I45-J44</f>
        <v>0</v>
      </c>
      <c r="K45" s="498" t="n">
        <f aca="false">J45-K44</f>
        <v>0</v>
      </c>
      <c r="L45" s="498" t="n">
        <f aca="false">K45-L44</f>
        <v>0</v>
      </c>
      <c r="M45" s="498" t="n">
        <f aca="false">L45-M44</f>
        <v>0</v>
      </c>
      <c r="N45" s="498" t="n">
        <f aca="false">M45-N44</f>
        <v>0</v>
      </c>
      <c r="O45" s="499"/>
      <c r="P45" s="102"/>
      <c r="Q45" s="102"/>
    </row>
    <row r="46" customFormat="false" ht="13.8" hidden="false" customHeight="false" outlineLevel="0" collapsed="false">
      <c r="B46" s="94"/>
      <c r="C46" s="94"/>
      <c r="D46" s="102"/>
      <c r="E46" s="102"/>
      <c r="F46" s="102"/>
      <c r="G46" s="102"/>
      <c r="H46" s="102"/>
      <c r="I46" s="102"/>
      <c r="J46" s="102"/>
      <c r="K46" s="102"/>
      <c r="L46" s="102"/>
      <c r="M46" s="102"/>
      <c r="N46" s="102"/>
      <c r="O46" s="102"/>
      <c r="P46" s="102"/>
      <c r="Q46" s="102"/>
    </row>
    <row r="47" customFormat="false" ht="13.8" hidden="false" customHeight="false" outlineLevel="0" collapsed="false">
      <c r="B47" s="94"/>
      <c r="C47" s="94"/>
      <c r="D47" s="102"/>
      <c r="E47" s="102"/>
      <c r="F47" s="102"/>
      <c r="G47" s="102"/>
      <c r="H47" s="102"/>
      <c r="I47" s="102"/>
      <c r="J47" s="102"/>
      <c r="K47" s="102"/>
      <c r="L47" s="102"/>
      <c r="M47" s="102"/>
      <c r="N47" s="102"/>
      <c r="O47" s="102"/>
      <c r="P47" s="102"/>
      <c r="Q47" s="102"/>
    </row>
    <row r="48" customFormat="false" ht="14.4" hidden="false" customHeight="true" outlineLevel="0" collapsed="false">
      <c r="B48" s="104" t="s">
        <v>49</v>
      </c>
      <c r="C48" s="104"/>
      <c r="D48" s="102"/>
      <c r="E48" s="102"/>
      <c r="F48" s="102"/>
      <c r="G48" s="102"/>
      <c r="H48" s="102"/>
      <c r="I48" s="102"/>
      <c r="J48" s="102"/>
      <c r="K48" s="102"/>
      <c r="L48" s="102"/>
      <c r="M48" s="102"/>
      <c r="N48" s="102"/>
      <c r="O48" s="102"/>
      <c r="P48" s="102"/>
      <c r="Q48" s="102"/>
    </row>
    <row r="49" customFormat="false" ht="14.4" hidden="false" customHeight="false" outlineLevel="0" collapsed="false">
      <c r="B49" s="286" t="s">
        <v>344</v>
      </c>
      <c r="C49" s="501" t="n">
        <f aca="false">CCDebt</f>
        <v>0</v>
      </c>
      <c r="D49" s="102"/>
      <c r="E49" s="102"/>
      <c r="F49" s="102"/>
      <c r="G49" s="102"/>
      <c r="H49" s="102"/>
      <c r="I49" s="102"/>
      <c r="J49" s="102"/>
      <c r="K49" s="102"/>
      <c r="L49" s="102"/>
      <c r="M49" s="102"/>
      <c r="N49" s="102"/>
      <c r="O49" s="102"/>
      <c r="P49" s="102"/>
      <c r="Q49" s="102"/>
    </row>
    <row r="50" customFormat="false" ht="13.8" hidden="false" customHeight="false" outlineLevel="0" collapsed="false">
      <c r="B50" s="120" t="s">
        <v>345</v>
      </c>
      <c r="C50" s="502" t="n">
        <f aca="false">'1-StartingPoint'!E39</f>
        <v>0.07</v>
      </c>
      <c r="D50" s="102"/>
      <c r="E50" s="102"/>
      <c r="F50" s="102"/>
      <c r="G50" s="102"/>
      <c r="H50" s="102"/>
      <c r="I50" s="102"/>
      <c r="J50" s="102"/>
      <c r="K50" s="102"/>
      <c r="L50" s="102"/>
      <c r="M50" s="102"/>
      <c r="N50" s="102"/>
      <c r="O50" s="102"/>
      <c r="P50" s="102"/>
      <c r="Q50" s="102"/>
    </row>
    <row r="51" customFormat="false" ht="13.8" hidden="false" customHeight="false" outlineLevel="0" collapsed="false">
      <c r="B51" s="120" t="s">
        <v>346</v>
      </c>
      <c r="C51" s="503" t="n">
        <f aca="false">'1-StartingPoint'!F39</f>
        <v>60</v>
      </c>
      <c r="D51" s="102"/>
      <c r="E51" s="102"/>
      <c r="F51" s="102"/>
      <c r="G51" s="102"/>
      <c r="H51" s="102"/>
      <c r="I51" s="102"/>
      <c r="J51" s="102"/>
      <c r="K51" s="102"/>
      <c r="L51" s="102"/>
      <c r="M51" s="102"/>
      <c r="N51" s="102"/>
      <c r="O51" s="102"/>
      <c r="P51" s="102"/>
      <c r="Q51" s="102"/>
    </row>
    <row r="52" customFormat="false" ht="13.8" hidden="false" customHeight="false" outlineLevel="0" collapsed="false">
      <c r="B52" s="120" t="s">
        <v>347</v>
      </c>
      <c r="C52" s="504" t="n">
        <f aca="false">ABS(PMT(C50/12,C51,C49))</f>
        <v>0</v>
      </c>
      <c r="D52" s="102"/>
      <c r="E52" s="102"/>
      <c r="F52" s="102"/>
      <c r="G52" s="102"/>
      <c r="H52" s="102"/>
      <c r="I52" s="102"/>
      <c r="J52" s="102"/>
      <c r="K52" s="102"/>
      <c r="L52" s="102"/>
      <c r="M52" s="102"/>
      <c r="N52" s="102"/>
      <c r="O52" s="102"/>
      <c r="P52" s="102"/>
      <c r="Q52" s="102"/>
    </row>
    <row r="53" customFormat="false" ht="13.8" hidden="false" customHeight="false" outlineLevel="0" collapsed="false">
      <c r="B53" s="120"/>
      <c r="C53" s="496" t="str">
        <f aca="false">'3a-SalesForecastYear1'!$C$16</f>
        <v>Month 1</v>
      </c>
      <c r="D53" s="496" t="str">
        <f aca="false">'3a-SalesForecastYear1'!$D$16</f>
        <v>Month 2</v>
      </c>
      <c r="E53" s="496" t="str">
        <f aca="false">'3a-SalesForecastYear1'!$E$16</f>
        <v>Month 3</v>
      </c>
      <c r="F53" s="496" t="str">
        <f aca="false">'3a-SalesForecastYear1'!$F$16</f>
        <v>Month 4</v>
      </c>
      <c r="G53" s="496" t="str">
        <f aca="false">'3a-SalesForecastYear1'!$G$16</f>
        <v>Month 5</v>
      </c>
      <c r="H53" s="496" t="str">
        <f aca="false">'3a-SalesForecastYear1'!$H$16</f>
        <v>Month 6</v>
      </c>
      <c r="I53" s="496" t="str">
        <f aca="false">'3a-SalesForecastYear1'!$I$16</f>
        <v>Month 7</v>
      </c>
      <c r="J53" s="496" t="str">
        <f aca="false">'3a-SalesForecastYear1'!$J$16</f>
        <v>Month 8</v>
      </c>
      <c r="K53" s="496" t="str">
        <f aca="false">'3a-SalesForecastYear1'!$K$16</f>
        <v>Month 9</v>
      </c>
      <c r="L53" s="496" t="str">
        <f aca="false">'3a-SalesForecastYear1'!$L$16</f>
        <v>Month 10</v>
      </c>
      <c r="M53" s="496" t="str">
        <f aca="false">'3a-SalesForecastYear1'!$M$16</f>
        <v>Month 11</v>
      </c>
      <c r="N53" s="496" t="str">
        <f aca="false">'3a-SalesForecastYear1'!$N$16</f>
        <v>Month 12</v>
      </c>
      <c r="O53" s="496" t="s">
        <v>39</v>
      </c>
      <c r="P53" s="102"/>
      <c r="Q53" s="102"/>
    </row>
    <row r="54" customFormat="false" ht="13.8" hidden="false" customHeight="false" outlineLevel="0" collapsed="false">
      <c r="B54" s="120" t="s">
        <v>269</v>
      </c>
      <c r="C54" s="113"/>
      <c r="D54" s="113"/>
      <c r="E54" s="113"/>
      <c r="F54" s="113"/>
      <c r="G54" s="113"/>
      <c r="H54" s="113"/>
      <c r="I54" s="113"/>
      <c r="J54" s="113"/>
      <c r="K54" s="113"/>
      <c r="L54" s="113"/>
      <c r="M54" s="113"/>
      <c r="N54" s="113"/>
      <c r="O54" s="113"/>
      <c r="P54" s="102"/>
      <c r="Q54" s="102"/>
    </row>
    <row r="55" customFormat="false" ht="13.8" hidden="false" customHeight="false" outlineLevel="0" collapsed="false">
      <c r="B55" s="455" t="s">
        <v>160</v>
      </c>
      <c r="C55" s="370" t="n">
        <f aca="false">ABS(IPMT($C$50/12,1,$C$51,$C$49))</f>
        <v>0</v>
      </c>
      <c r="D55" s="370" t="n">
        <f aca="false">ABS(IPMT($C$50/12,2,$C$51,$C$49))</f>
        <v>0</v>
      </c>
      <c r="E55" s="370" t="n">
        <f aca="false">ABS(IPMT($C$50/12,3,$C$51,$C$49))</f>
        <v>0</v>
      </c>
      <c r="F55" s="370" t="n">
        <f aca="false">ABS(IPMT($C$50/12,4,$C$51,$C$49))</f>
        <v>0</v>
      </c>
      <c r="G55" s="370" t="n">
        <f aca="false">ABS(IPMT($C$50/12,5,$C$51,$C$49))</f>
        <v>0</v>
      </c>
      <c r="H55" s="370" t="n">
        <f aca="false">ABS(IPMT($C$50/12,6,$C$51,$C$49))</f>
        <v>0</v>
      </c>
      <c r="I55" s="370" t="n">
        <f aca="false">ABS(IPMT($C$50/12,7,$C$51,$C$49))</f>
        <v>0</v>
      </c>
      <c r="J55" s="370" t="n">
        <f aca="false">ABS(IPMT($C$50/12,8,$C$51,$C$49))</f>
        <v>0</v>
      </c>
      <c r="K55" s="370" t="n">
        <f aca="false">ABS(IPMT($C$50/12,9,$C$51,$C$49))</f>
        <v>0</v>
      </c>
      <c r="L55" s="370" t="n">
        <f aca="false">ABS(IPMT($C$50/12,10,$C$51,$C$49))</f>
        <v>0</v>
      </c>
      <c r="M55" s="370" t="n">
        <f aca="false">ABS(IPMT($C$50/12,11,$C$51,$C$49))</f>
        <v>0</v>
      </c>
      <c r="N55" s="370" t="n">
        <f aca="false">ABS(IPMT($C$50/12,12,$C$51,$C$49))</f>
        <v>0</v>
      </c>
      <c r="O55" s="497" t="n">
        <f aca="false">SUM(C55:N55)</f>
        <v>0</v>
      </c>
      <c r="P55" s="102"/>
      <c r="Q55" s="102"/>
    </row>
    <row r="56" customFormat="false" ht="13.8" hidden="false" customHeight="false" outlineLevel="0" collapsed="false">
      <c r="B56" s="455" t="s">
        <v>348</v>
      </c>
      <c r="C56" s="370" t="n">
        <f aca="false">ABS(PPMT($C$50/12,1,$C$51,$C$49))</f>
        <v>0</v>
      </c>
      <c r="D56" s="370" t="n">
        <f aca="false">ABS(PPMT($C$50/12,2,$C$51,$C$49))</f>
        <v>0</v>
      </c>
      <c r="E56" s="370" t="n">
        <f aca="false">ABS(PPMT($C$50/12,3,$C$51,$C$49))</f>
        <v>0</v>
      </c>
      <c r="F56" s="370" t="n">
        <f aca="false">ABS(PPMT($C$50/12,4,$C$51,$C$49))</f>
        <v>0</v>
      </c>
      <c r="G56" s="370" t="n">
        <f aca="false">ABS(PPMT($C$50/12,5,$C$51,$C$49))</f>
        <v>0</v>
      </c>
      <c r="H56" s="370" t="n">
        <f aca="false">ABS(PPMT($C$50/12,6,$C$51,$C$49))</f>
        <v>0</v>
      </c>
      <c r="I56" s="370" t="n">
        <f aca="false">ABS(PPMT($C$50/12,7,$C$51,$C$49))</f>
        <v>0</v>
      </c>
      <c r="J56" s="370" t="n">
        <f aca="false">ABS(PPMT($C$50/12,8,$C$51,$C$49))</f>
        <v>0</v>
      </c>
      <c r="K56" s="370" t="n">
        <f aca="false">ABS(PPMT($C$50/12,9,$C$51,$C$49))</f>
        <v>0</v>
      </c>
      <c r="L56" s="370" t="n">
        <f aca="false">ABS(PPMT($C$50/12,10,$C$51,$C$49))</f>
        <v>0</v>
      </c>
      <c r="M56" s="370" t="n">
        <f aca="false">ABS(PPMT($C$50/12,11,$C$51,$C$49))</f>
        <v>0</v>
      </c>
      <c r="N56" s="370" t="n">
        <f aca="false">ABS(PPMT($C$50/12,12,$C$51,$C$49))</f>
        <v>0</v>
      </c>
      <c r="O56" s="497" t="n">
        <f aca="false">SUM(C56:N56)</f>
        <v>0</v>
      </c>
      <c r="P56" s="102"/>
      <c r="Q56" s="102"/>
    </row>
    <row r="57" customFormat="false" ht="13.8" hidden="false" customHeight="false" outlineLevel="0" collapsed="false">
      <c r="B57" s="455" t="s">
        <v>349</v>
      </c>
      <c r="C57" s="498" t="n">
        <f aca="false">$C$49-C56</f>
        <v>0</v>
      </c>
      <c r="D57" s="498" t="n">
        <f aca="false">C57-D56</f>
        <v>0</v>
      </c>
      <c r="E57" s="498" t="n">
        <f aca="false">D57-E56</f>
        <v>0</v>
      </c>
      <c r="F57" s="498" t="n">
        <f aca="false">E57-F56</f>
        <v>0</v>
      </c>
      <c r="G57" s="498" t="n">
        <f aca="false">F57-G56</f>
        <v>0</v>
      </c>
      <c r="H57" s="498" t="n">
        <f aca="false">G57-H56</f>
        <v>0</v>
      </c>
      <c r="I57" s="498" t="n">
        <f aca="false">H57-I56</f>
        <v>0</v>
      </c>
      <c r="J57" s="498" t="n">
        <f aca="false">I57-J56</f>
        <v>0</v>
      </c>
      <c r="K57" s="498" t="n">
        <f aca="false">J57-K56</f>
        <v>0</v>
      </c>
      <c r="L57" s="498" t="n">
        <f aca="false">K57-L56</f>
        <v>0</v>
      </c>
      <c r="M57" s="498" t="n">
        <f aca="false">L57-M56</f>
        <v>0</v>
      </c>
      <c r="N57" s="498" t="n">
        <f aca="false">M57-N56</f>
        <v>0</v>
      </c>
      <c r="O57" s="499"/>
      <c r="P57" s="102"/>
      <c r="Q57" s="102"/>
    </row>
    <row r="58" customFormat="false" ht="13.8" hidden="false" customHeight="false" outlineLevel="0" collapsed="false">
      <c r="B58" s="120" t="s">
        <v>270</v>
      </c>
      <c r="C58" s="500"/>
      <c r="D58" s="500"/>
      <c r="E58" s="500"/>
      <c r="F58" s="500"/>
      <c r="G58" s="500"/>
      <c r="H58" s="500"/>
      <c r="I58" s="500"/>
      <c r="J58" s="500"/>
      <c r="K58" s="500"/>
      <c r="L58" s="500"/>
      <c r="M58" s="500"/>
      <c r="N58" s="500"/>
      <c r="O58" s="500"/>
      <c r="P58" s="102"/>
      <c r="Q58" s="102"/>
    </row>
    <row r="59" customFormat="false" ht="13.8" hidden="false" customHeight="false" outlineLevel="0" collapsed="false">
      <c r="B59" s="455" t="s">
        <v>160</v>
      </c>
      <c r="C59" s="370" t="n">
        <f aca="false">IF($C$51&lt;13,0,ABS(IPMT($C$50/12,13,$C$51,$C$49)))</f>
        <v>0</v>
      </c>
      <c r="D59" s="370" t="n">
        <f aca="false">IF($C$51&lt;14,0,ABS(IPMT($C$50/12,14,$C$51,$C$49)))</f>
        <v>0</v>
      </c>
      <c r="E59" s="370" t="n">
        <f aca="false">IF($C$51&lt;15,0,ABS(IPMT($C$50/12,15,$C$51,$C$49)))</f>
        <v>0</v>
      </c>
      <c r="F59" s="370" t="n">
        <f aca="false">IF($C$51&lt;16,0,ABS(IPMT($C$50/12,16,$C$51,$C$49)))</f>
        <v>0</v>
      </c>
      <c r="G59" s="370" t="n">
        <f aca="false">IF($C$51&lt;17,0,ABS(IPMT($C$50/12,17,$C$51,$C$49)))</f>
        <v>0</v>
      </c>
      <c r="H59" s="370" t="n">
        <f aca="false">IF($C$51&lt;18,0,ABS(IPMT($C$50/12,18,$C$51,$C$49)))</f>
        <v>0</v>
      </c>
      <c r="I59" s="370" t="n">
        <f aca="false">IF($C$51&lt;19,0,ABS(IPMT($C$50/12,19,$C$51,$C$49)))</f>
        <v>0</v>
      </c>
      <c r="J59" s="370" t="n">
        <f aca="false">IF($C$51&lt;20,0,ABS(IPMT($C$50/12,20,$C$51,$C$49)))</f>
        <v>0</v>
      </c>
      <c r="K59" s="370" t="n">
        <f aca="false">IF($C$51&lt;21,0,ABS(IPMT($C$50/12,21,$C$51,$C$49)))</f>
        <v>0</v>
      </c>
      <c r="L59" s="370" t="n">
        <f aca="false">IF($C$51&lt;22,0,ABS(IPMT($C$50/12,22,$C$51,$C$49)))</f>
        <v>0</v>
      </c>
      <c r="M59" s="370" t="n">
        <f aca="false">IF($C$51&lt;23,0,ABS(IPMT($C$50/23,11,$C$51,$C$49)))</f>
        <v>0</v>
      </c>
      <c r="N59" s="370" t="n">
        <f aca="false">IF($C$51&lt;24,0,ABS(IPMT($C$50/12,24,$C$51,$C$49)))</f>
        <v>0</v>
      </c>
      <c r="O59" s="497" t="n">
        <f aca="false">SUM(C59:N59)</f>
        <v>0</v>
      </c>
      <c r="P59" s="102"/>
      <c r="Q59" s="102"/>
    </row>
    <row r="60" customFormat="false" ht="13.8" hidden="false" customHeight="false" outlineLevel="0" collapsed="false">
      <c r="B60" s="455" t="s">
        <v>348</v>
      </c>
      <c r="C60" s="370" t="n">
        <f aca="false">IF($C$51&lt;13,0,ABS(PPMT($C$50/12,13,$C$51,$C$49)))</f>
        <v>0</v>
      </c>
      <c r="D60" s="370" t="n">
        <f aca="false">IF($C$51&lt;14,0,ABS(PPMT($C$50/12,14,$C$51,$C$49)))</f>
        <v>0</v>
      </c>
      <c r="E60" s="370" t="n">
        <f aca="false">IF($C$51&lt;15,0,ABS(PPMT($C$50/12,15,$C$51,$C$49)))</f>
        <v>0</v>
      </c>
      <c r="F60" s="370" t="n">
        <f aca="false">IF($C$51&lt;16,0,ABS(PPMT($C$50/12,16,$C$51,$C$49)))</f>
        <v>0</v>
      </c>
      <c r="G60" s="370" t="n">
        <f aca="false">IF($C$51&lt;17,0,ABS(PPMT($C$50/12,17,$C$51,$C$49)))</f>
        <v>0</v>
      </c>
      <c r="H60" s="370" t="n">
        <f aca="false">IF($C$51&lt;18,0,ABS(PPMT($C$50/12,18,$C$51,$C$49)))</f>
        <v>0</v>
      </c>
      <c r="I60" s="370" t="n">
        <f aca="false">IF($C$51&lt;19,0,ABS(PPMT($C$50/12,19,$C$51,$C$49)))</f>
        <v>0</v>
      </c>
      <c r="J60" s="370" t="n">
        <f aca="false">IF($C$51&lt;20,0,ABS(PPMT($C$50/12,20,$C$51,$C$49)))</f>
        <v>0</v>
      </c>
      <c r="K60" s="370" t="n">
        <f aca="false">IF($C$51&lt;21,0,ABS(PPMT($C$50/12,21,$C$51,$C$49)))</f>
        <v>0</v>
      </c>
      <c r="L60" s="370" t="n">
        <f aca="false">IF($C$51&lt;22,0,ABS(PPMT($C$50/12,22,$C$51,$C$49)))</f>
        <v>0</v>
      </c>
      <c r="M60" s="370" t="n">
        <f aca="false">IF($C$51&lt;23,0,ABS(PPMT($C$50/12,23,$C$51,$C$49)))</f>
        <v>0</v>
      </c>
      <c r="N60" s="370" t="n">
        <f aca="false">IF($C$51&lt;24,0,ABS(PPMT($C$50/12,24,$C$51,$C$49)))</f>
        <v>0</v>
      </c>
      <c r="O60" s="497" t="n">
        <f aca="false">SUM(C60:N60)</f>
        <v>0</v>
      </c>
      <c r="P60" s="102"/>
      <c r="Q60" s="102"/>
    </row>
    <row r="61" customFormat="false" ht="13.8" hidden="false" customHeight="false" outlineLevel="0" collapsed="false">
      <c r="B61" s="455" t="s">
        <v>349</v>
      </c>
      <c r="C61" s="498" t="n">
        <f aca="false">N57-C60</f>
        <v>0</v>
      </c>
      <c r="D61" s="498" t="n">
        <f aca="false">C61-D60</f>
        <v>0</v>
      </c>
      <c r="E61" s="498" t="n">
        <f aca="false">D61-E60</f>
        <v>0</v>
      </c>
      <c r="F61" s="498" t="n">
        <f aca="false">E61-F60</f>
        <v>0</v>
      </c>
      <c r="G61" s="498" t="n">
        <f aca="false">F61-G60</f>
        <v>0</v>
      </c>
      <c r="H61" s="498" t="n">
        <f aca="false">G61-H60</f>
        <v>0</v>
      </c>
      <c r="I61" s="498" t="n">
        <f aca="false">H61-I60</f>
        <v>0</v>
      </c>
      <c r="J61" s="498" t="n">
        <f aca="false">I61-J60</f>
        <v>0</v>
      </c>
      <c r="K61" s="498" t="n">
        <f aca="false">J61-K60</f>
        <v>0</v>
      </c>
      <c r="L61" s="498" t="n">
        <f aca="false">K61-L60</f>
        <v>0</v>
      </c>
      <c r="M61" s="498" t="n">
        <f aca="false">L61-M60</f>
        <v>0</v>
      </c>
      <c r="N61" s="498" t="n">
        <f aca="false">M61-N60</f>
        <v>0</v>
      </c>
      <c r="O61" s="499"/>
      <c r="P61" s="102"/>
      <c r="Q61" s="102"/>
    </row>
    <row r="62" customFormat="false" ht="13.8" hidden="false" customHeight="false" outlineLevel="0" collapsed="false">
      <c r="B62" s="120" t="s">
        <v>271</v>
      </c>
      <c r="C62" s="500"/>
      <c r="D62" s="500"/>
      <c r="E62" s="500"/>
      <c r="F62" s="500"/>
      <c r="G62" s="500"/>
      <c r="H62" s="500"/>
      <c r="I62" s="500"/>
      <c r="J62" s="500"/>
      <c r="K62" s="500"/>
      <c r="L62" s="500"/>
      <c r="M62" s="500"/>
      <c r="N62" s="500"/>
      <c r="O62" s="500"/>
      <c r="P62" s="102"/>
      <c r="Q62" s="102"/>
    </row>
    <row r="63" customFormat="false" ht="13.8" hidden="false" customHeight="false" outlineLevel="0" collapsed="false">
      <c r="B63" s="455" t="s">
        <v>160</v>
      </c>
      <c r="C63" s="370" t="n">
        <f aca="false">IF($C$51&lt;25,0,ABS(IPMT($C$50/12,25,$C$51,$C$49)))</f>
        <v>0</v>
      </c>
      <c r="D63" s="370" t="n">
        <f aca="false">IF($C$51&lt;26,0,ABS(IPMT($C$50/12,26,$C$51,$C$49)))</f>
        <v>0</v>
      </c>
      <c r="E63" s="370" t="n">
        <f aca="false">IF($C$51&lt;27,0,ABS(IPMT($C$50/12,27,$C$51,$C$49)))</f>
        <v>0</v>
      </c>
      <c r="F63" s="370" t="n">
        <f aca="false">IF($C$51&lt;28,0,ABS(IPMT($C$50/12,28,$C$51,$C$49)))</f>
        <v>0</v>
      </c>
      <c r="G63" s="370" t="n">
        <f aca="false">IF($C$51&lt;29,0,ABS(IPMT($C$50/12,29,$C$51,$C$49)))</f>
        <v>0</v>
      </c>
      <c r="H63" s="370" t="n">
        <f aca="false">IF($C$51&lt;30,0,ABS(IPMT($C$50/12,30,$C$51,$C$49)))</f>
        <v>0</v>
      </c>
      <c r="I63" s="370" t="n">
        <f aca="false">IF($C$51&lt;31,0,ABS(IPMT($C$50/12,31,$C$51,$C$49)))</f>
        <v>0</v>
      </c>
      <c r="J63" s="370" t="n">
        <f aca="false">IF($C$51&lt;32,0,ABS(IPMT($C$50/12,32,$C$51,$C$49)))</f>
        <v>0</v>
      </c>
      <c r="K63" s="370" t="n">
        <f aca="false">IF($C$51&lt;33,0,ABS(IPMT($C$50/12,33,$C$51,$C$49)))</f>
        <v>0</v>
      </c>
      <c r="L63" s="370" t="n">
        <f aca="false">IF($C$51&lt;34,0,ABS(IPMT($C$50/12,34,$C$51,$C$49)))</f>
        <v>0</v>
      </c>
      <c r="M63" s="370" t="n">
        <f aca="false">IF($C$51&lt;35,0,ABS(IPMT($C$50/12,35,$C$51,$C$49)))</f>
        <v>0</v>
      </c>
      <c r="N63" s="370" t="n">
        <f aca="false">IF($C$51&lt;36,0,ABS(IPMT($C$50/12,36,$C$51,$C$49)))</f>
        <v>0</v>
      </c>
      <c r="O63" s="497" t="n">
        <f aca="false">SUM(C63:N63)</f>
        <v>0</v>
      </c>
      <c r="P63" s="102"/>
      <c r="Q63" s="102"/>
    </row>
    <row r="64" customFormat="false" ht="13.8" hidden="false" customHeight="false" outlineLevel="0" collapsed="false">
      <c r="B64" s="455" t="s">
        <v>348</v>
      </c>
      <c r="C64" s="370" t="n">
        <f aca="false">IF($C$51&lt;25,0,ABS(PPMT($C$50/12,25,$C$51,$C$49)))</f>
        <v>0</v>
      </c>
      <c r="D64" s="370" t="n">
        <f aca="false">IF($C$51&lt;26,0,ABS(PPMT($C$50/12,26,$C$51,$C$49)))</f>
        <v>0</v>
      </c>
      <c r="E64" s="370" t="n">
        <f aca="false">IF($C$51&lt;27,0,ABS(PPMT($C$50/12,27,$C$51,$C$49)))</f>
        <v>0</v>
      </c>
      <c r="F64" s="370" t="n">
        <f aca="false">IF($C$51&lt;28,0,ABS(PPMT($C$50/12,28,$C$51,$C$49)))</f>
        <v>0</v>
      </c>
      <c r="G64" s="370" t="n">
        <f aca="false">IF($C$51&lt;29,0,ABS(PPMT($C$50/12,29,$C$51,$C$49)))</f>
        <v>0</v>
      </c>
      <c r="H64" s="370" t="n">
        <f aca="false">IF($C$51&lt;30,0,ABS(PPMT($C$50/12,30,$C$51,$C$49)))</f>
        <v>0</v>
      </c>
      <c r="I64" s="370" t="n">
        <f aca="false">IF($C$51&lt;31,0,ABS(PPMT($C$50/12,31,$C$51,$C$49)))</f>
        <v>0</v>
      </c>
      <c r="J64" s="370" t="n">
        <f aca="false">IF($C$51&lt;32,0,ABS(PPMT($C$50/12,32,$C$51,$C$49)))</f>
        <v>0</v>
      </c>
      <c r="K64" s="370" t="n">
        <f aca="false">IF($C$51&lt;33,0,ABS(PPMT($C$50/12,33,$C$51,$C$49)))</f>
        <v>0</v>
      </c>
      <c r="L64" s="370" t="n">
        <f aca="false">IF($C$51&lt;34,0,ABS(PPMT($C$50/12,34,$C$51,$C$49)))</f>
        <v>0</v>
      </c>
      <c r="M64" s="370" t="n">
        <f aca="false">IF($C$51&lt;35,0,ABS(PPMT($C$50/12,35,$C$51,$C$49)))</f>
        <v>0</v>
      </c>
      <c r="N64" s="370" t="n">
        <f aca="false">IF($C$51&lt;36,0,ABS(PPMT($C$50/12,36,$C$51,$C$49)))</f>
        <v>0</v>
      </c>
      <c r="O64" s="497" t="n">
        <f aca="false">SUM(C64:N64)</f>
        <v>0</v>
      </c>
      <c r="P64" s="102"/>
      <c r="Q64" s="102"/>
    </row>
    <row r="65" customFormat="false" ht="13.8" hidden="false" customHeight="false" outlineLevel="0" collapsed="false">
      <c r="B65" s="455" t="s">
        <v>349</v>
      </c>
      <c r="C65" s="498" t="n">
        <f aca="false">N61-C64</f>
        <v>0</v>
      </c>
      <c r="D65" s="498" t="n">
        <f aca="false">C65-D64</f>
        <v>0</v>
      </c>
      <c r="E65" s="498" t="n">
        <f aca="false">D65-E64</f>
        <v>0</v>
      </c>
      <c r="F65" s="498" t="n">
        <f aca="false">E65-F64</f>
        <v>0</v>
      </c>
      <c r="G65" s="498" t="n">
        <f aca="false">F65-G64</f>
        <v>0</v>
      </c>
      <c r="H65" s="498" t="n">
        <f aca="false">G65-H64</f>
        <v>0</v>
      </c>
      <c r="I65" s="498" t="n">
        <f aca="false">H65-I64</f>
        <v>0</v>
      </c>
      <c r="J65" s="498" t="n">
        <f aca="false">I65-J64</f>
        <v>0</v>
      </c>
      <c r="K65" s="498" t="n">
        <f aca="false">J65-K64</f>
        <v>0</v>
      </c>
      <c r="L65" s="498" t="n">
        <f aca="false">K65-L64</f>
        <v>0</v>
      </c>
      <c r="M65" s="498" t="n">
        <f aca="false">L65-M64</f>
        <v>0</v>
      </c>
      <c r="N65" s="498" t="n">
        <f aca="false">M65-N64</f>
        <v>0</v>
      </c>
      <c r="O65" s="499"/>
      <c r="P65" s="102"/>
      <c r="Q65" s="102"/>
    </row>
    <row r="66" customFormat="false" ht="13.8" hidden="false" customHeight="false" outlineLevel="0" collapsed="false">
      <c r="B66" s="94"/>
      <c r="C66" s="94"/>
      <c r="D66" s="102"/>
      <c r="E66" s="102"/>
      <c r="F66" s="102"/>
      <c r="G66" s="102"/>
      <c r="H66" s="102"/>
      <c r="I66" s="102"/>
      <c r="J66" s="102"/>
      <c r="K66" s="102"/>
      <c r="L66" s="102"/>
      <c r="M66" s="102"/>
      <c r="N66" s="102"/>
      <c r="O66" s="102"/>
      <c r="P66" s="102"/>
      <c r="Q66" s="102"/>
    </row>
    <row r="67" customFormat="false" ht="13.8" hidden="false" customHeight="false" outlineLevel="0" collapsed="false">
      <c r="B67" s="94"/>
      <c r="C67" s="94"/>
      <c r="D67" s="102"/>
      <c r="E67" s="102"/>
      <c r="F67" s="102"/>
      <c r="G67" s="102"/>
      <c r="H67" s="102"/>
      <c r="I67" s="102"/>
      <c r="J67" s="102"/>
      <c r="K67" s="102"/>
      <c r="L67" s="102"/>
      <c r="M67" s="102"/>
      <c r="N67" s="102"/>
      <c r="O67" s="102"/>
      <c r="P67" s="102"/>
      <c r="Q67" s="102"/>
    </row>
    <row r="68" customFormat="false" ht="14.4" hidden="false" customHeight="true" outlineLevel="0" collapsed="false">
      <c r="B68" s="104" t="s">
        <v>50</v>
      </c>
      <c r="C68" s="104"/>
      <c r="D68" s="102"/>
      <c r="E68" s="102"/>
      <c r="F68" s="102"/>
      <c r="G68" s="102"/>
      <c r="H68" s="102"/>
      <c r="I68" s="102"/>
      <c r="J68" s="102"/>
      <c r="K68" s="102"/>
      <c r="L68" s="102"/>
      <c r="M68" s="102"/>
      <c r="N68" s="102"/>
      <c r="O68" s="102"/>
      <c r="P68" s="102"/>
      <c r="Q68" s="102"/>
    </row>
    <row r="69" customFormat="false" ht="14.4" hidden="false" customHeight="false" outlineLevel="0" collapsed="false">
      <c r="B69" s="286" t="s">
        <v>344</v>
      </c>
      <c r="C69" s="501" t="n">
        <f aca="false">VehicleLoan</f>
        <v>0</v>
      </c>
      <c r="D69" s="102"/>
      <c r="E69" s="102"/>
      <c r="F69" s="102"/>
      <c r="G69" s="102"/>
      <c r="H69" s="102"/>
      <c r="I69" s="102"/>
      <c r="J69" s="102"/>
      <c r="K69" s="102"/>
      <c r="L69" s="102"/>
      <c r="M69" s="102"/>
      <c r="N69" s="102"/>
      <c r="O69" s="102"/>
      <c r="P69" s="102"/>
      <c r="Q69" s="102"/>
    </row>
    <row r="70" customFormat="false" ht="13.8" hidden="false" customHeight="false" outlineLevel="0" collapsed="false">
      <c r="B70" s="120" t="s">
        <v>345</v>
      </c>
      <c r="C70" s="502" t="n">
        <f aca="false">'1-StartingPoint'!E40</f>
        <v>0.06</v>
      </c>
      <c r="D70" s="102"/>
      <c r="E70" s="102"/>
      <c r="F70" s="102"/>
      <c r="G70" s="102"/>
      <c r="H70" s="102"/>
      <c r="I70" s="102"/>
      <c r="J70" s="102"/>
      <c r="K70" s="102"/>
      <c r="L70" s="102"/>
      <c r="M70" s="102"/>
      <c r="N70" s="102"/>
      <c r="O70" s="102"/>
      <c r="P70" s="102"/>
      <c r="Q70" s="102"/>
    </row>
    <row r="71" customFormat="false" ht="13.8" hidden="false" customHeight="false" outlineLevel="0" collapsed="false">
      <c r="B71" s="120" t="s">
        <v>346</v>
      </c>
      <c r="C71" s="503" t="n">
        <f aca="false">'1-StartingPoint'!F40</f>
        <v>48</v>
      </c>
      <c r="D71" s="102"/>
      <c r="E71" s="102"/>
      <c r="F71" s="102"/>
      <c r="G71" s="102"/>
      <c r="H71" s="102"/>
      <c r="I71" s="102"/>
      <c r="J71" s="102"/>
      <c r="K71" s="102"/>
      <c r="L71" s="102"/>
      <c r="M71" s="102"/>
      <c r="N71" s="102"/>
      <c r="O71" s="102"/>
      <c r="P71" s="102"/>
      <c r="Q71" s="102"/>
    </row>
    <row r="72" customFormat="false" ht="13.8" hidden="false" customHeight="false" outlineLevel="0" collapsed="false">
      <c r="B72" s="120" t="s">
        <v>347</v>
      </c>
      <c r="C72" s="504" t="n">
        <f aca="false">ABS(PMT(C70/12,C71,C69))</f>
        <v>0</v>
      </c>
      <c r="D72" s="102"/>
      <c r="E72" s="102"/>
      <c r="F72" s="102"/>
      <c r="G72" s="102"/>
      <c r="H72" s="102"/>
      <c r="I72" s="102"/>
      <c r="J72" s="102"/>
      <c r="K72" s="102"/>
      <c r="L72" s="102"/>
      <c r="M72" s="102"/>
      <c r="N72" s="102"/>
      <c r="O72" s="102"/>
      <c r="P72" s="102"/>
      <c r="Q72" s="102"/>
    </row>
    <row r="73" customFormat="false" ht="13.8" hidden="false" customHeight="false" outlineLevel="0" collapsed="false">
      <c r="B73" s="120"/>
      <c r="C73" s="496" t="str">
        <f aca="false">'3a-SalesForecastYear1'!$C$16</f>
        <v>Month 1</v>
      </c>
      <c r="D73" s="496" t="str">
        <f aca="false">'3a-SalesForecastYear1'!$D$16</f>
        <v>Month 2</v>
      </c>
      <c r="E73" s="496" t="str">
        <f aca="false">'3a-SalesForecastYear1'!$E$16</f>
        <v>Month 3</v>
      </c>
      <c r="F73" s="496" t="str">
        <f aca="false">'3a-SalesForecastYear1'!$F$16</f>
        <v>Month 4</v>
      </c>
      <c r="G73" s="496" t="str">
        <f aca="false">'3a-SalesForecastYear1'!$G$16</f>
        <v>Month 5</v>
      </c>
      <c r="H73" s="496" t="str">
        <f aca="false">'3a-SalesForecastYear1'!$H$16</f>
        <v>Month 6</v>
      </c>
      <c r="I73" s="496" t="str">
        <f aca="false">'3a-SalesForecastYear1'!$I$16</f>
        <v>Month 7</v>
      </c>
      <c r="J73" s="496" t="str">
        <f aca="false">'3a-SalesForecastYear1'!$J$16</f>
        <v>Month 8</v>
      </c>
      <c r="K73" s="496" t="str">
        <f aca="false">'3a-SalesForecastYear1'!$K$16</f>
        <v>Month 9</v>
      </c>
      <c r="L73" s="496" t="str">
        <f aca="false">'3a-SalesForecastYear1'!$L$16</f>
        <v>Month 10</v>
      </c>
      <c r="M73" s="496" t="str">
        <f aca="false">'3a-SalesForecastYear1'!$M$16</f>
        <v>Month 11</v>
      </c>
      <c r="N73" s="496" t="str">
        <f aca="false">'3a-SalesForecastYear1'!$N$16</f>
        <v>Month 12</v>
      </c>
      <c r="O73" s="496" t="s">
        <v>39</v>
      </c>
      <c r="P73" s="102"/>
      <c r="Q73" s="102"/>
    </row>
    <row r="74" customFormat="false" ht="13.8" hidden="false" customHeight="false" outlineLevel="0" collapsed="false">
      <c r="B74" s="120" t="s">
        <v>269</v>
      </c>
      <c r="C74" s="113"/>
      <c r="D74" s="113"/>
      <c r="E74" s="113"/>
      <c r="F74" s="113"/>
      <c r="G74" s="113"/>
      <c r="H74" s="113"/>
      <c r="I74" s="113"/>
      <c r="J74" s="113"/>
      <c r="K74" s="113"/>
      <c r="L74" s="113"/>
      <c r="M74" s="113"/>
      <c r="N74" s="113"/>
      <c r="O74" s="113"/>
      <c r="P74" s="102"/>
      <c r="Q74" s="102"/>
    </row>
    <row r="75" customFormat="false" ht="13.8" hidden="false" customHeight="false" outlineLevel="0" collapsed="false">
      <c r="B75" s="505" t="s">
        <v>160</v>
      </c>
      <c r="C75" s="370" t="n">
        <f aca="false">ABS(IPMT($C$70/12,1,$C$71,$C$69))</f>
        <v>0</v>
      </c>
      <c r="D75" s="370" t="n">
        <f aca="false">ABS(IPMT($C$70/12,2,$C$71,$C$69))</f>
        <v>0</v>
      </c>
      <c r="E75" s="370" t="n">
        <f aca="false">ABS(IPMT($C$70/12,3,$C$71,$C$69))</f>
        <v>0</v>
      </c>
      <c r="F75" s="370" t="n">
        <f aca="false">ABS(IPMT($C$70/12,4,$C$71,$C$69))</f>
        <v>0</v>
      </c>
      <c r="G75" s="370" t="n">
        <f aca="false">ABS(IPMT($C$70/12,5,$C$71,$C$69))</f>
        <v>0</v>
      </c>
      <c r="H75" s="370" t="n">
        <f aca="false">ABS(IPMT($C$70/12,6,$C$71,$C$69))</f>
        <v>0</v>
      </c>
      <c r="I75" s="370" t="n">
        <f aca="false">ABS(IPMT($C$70/12,7,$C$71,$C$69))</f>
        <v>0</v>
      </c>
      <c r="J75" s="370" t="n">
        <f aca="false">ABS(IPMT($C$70/12,8,$C$71,$C$69))</f>
        <v>0</v>
      </c>
      <c r="K75" s="370" t="n">
        <f aca="false">ABS(IPMT($C$70/12,9,$C$71,$C$69))</f>
        <v>0</v>
      </c>
      <c r="L75" s="370" t="n">
        <f aca="false">ABS(IPMT($C$70/12,10,$C$71,$C$69))</f>
        <v>0</v>
      </c>
      <c r="M75" s="370" t="n">
        <f aca="false">ABS(IPMT($C$70/12,11,$C$71,$C$69))</f>
        <v>0</v>
      </c>
      <c r="N75" s="370" t="n">
        <f aca="false">ABS(IPMT($C$70/12,12,$C$71,$C$69))</f>
        <v>0</v>
      </c>
      <c r="O75" s="497" t="n">
        <f aca="false">SUM(C75:N75)</f>
        <v>0</v>
      </c>
      <c r="P75" s="102"/>
      <c r="Q75" s="102"/>
    </row>
    <row r="76" customFormat="false" ht="13.8" hidden="false" customHeight="false" outlineLevel="0" collapsed="false">
      <c r="B76" s="505" t="s">
        <v>348</v>
      </c>
      <c r="C76" s="370" t="n">
        <f aca="false">ABS(PPMT($C$70/12,1,$C$71,$C$69))</f>
        <v>0</v>
      </c>
      <c r="D76" s="370" t="n">
        <f aca="false">ABS(PPMT($C$70/12,2,$C$71,$C$69))</f>
        <v>0</v>
      </c>
      <c r="E76" s="370" t="n">
        <f aca="false">ABS(PPMT($C$70/12,3,$C$71,$C$69))</f>
        <v>0</v>
      </c>
      <c r="F76" s="370" t="n">
        <f aca="false">ABS(PPMT($C$70/12,4,$C$71,$C$69))</f>
        <v>0</v>
      </c>
      <c r="G76" s="370" t="n">
        <f aca="false">ABS(PPMT($C$70/12,5,$C$71,$C$69))</f>
        <v>0</v>
      </c>
      <c r="H76" s="370" t="n">
        <f aca="false">ABS(PPMT($C$70/12,6,$C$71,$C$69))</f>
        <v>0</v>
      </c>
      <c r="I76" s="370" t="n">
        <f aca="false">ABS(PPMT($C$70/12,7,$C$71,$C$69))</f>
        <v>0</v>
      </c>
      <c r="J76" s="370" t="n">
        <f aca="false">ABS(PPMT($C$70/12,8,$C$71,$C$69))</f>
        <v>0</v>
      </c>
      <c r="K76" s="370" t="n">
        <f aca="false">ABS(PPMT($C$70/12,9,$C$71,$C$69))</f>
        <v>0</v>
      </c>
      <c r="L76" s="370" t="n">
        <f aca="false">ABS(PPMT($C$70/12,10,$C$71,$C$69))</f>
        <v>0</v>
      </c>
      <c r="M76" s="370" t="n">
        <f aca="false">ABS(PPMT($C$70/12,11,$C$71,$C$69))</f>
        <v>0</v>
      </c>
      <c r="N76" s="370" t="n">
        <f aca="false">ABS(PPMT($C$70/12,12,$C$71,$C$69))</f>
        <v>0</v>
      </c>
      <c r="O76" s="497" t="n">
        <f aca="false">SUM(C76:N76)</f>
        <v>0</v>
      </c>
      <c r="P76" s="102"/>
      <c r="Q76" s="102"/>
    </row>
    <row r="77" customFormat="false" ht="13.8" hidden="false" customHeight="false" outlineLevel="0" collapsed="false">
      <c r="B77" s="455" t="s">
        <v>349</v>
      </c>
      <c r="C77" s="498" t="n">
        <f aca="false">$C$69-C76</f>
        <v>0</v>
      </c>
      <c r="D77" s="498" t="n">
        <f aca="false">C77-D76</f>
        <v>0</v>
      </c>
      <c r="E77" s="498" t="n">
        <f aca="false">D77-E76</f>
        <v>0</v>
      </c>
      <c r="F77" s="498" t="n">
        <f aca="false">E77-F76</f>
        <v>0</v>
      </c>
      <c r="G77" s="498" t="n">
        <f aca="false">F77-G76</f>
        <v>0</v>
      </c>
      <c r="H77" s="498" t="n">
        <f aca="false">G77-H76</f>
        <v>0</v>
      </c>
      <c r="I77" s="498" t="n">
        <f aca="false">H77-I76</f>
        <v>0</v>
      </c>
      <c r="J77" s="498" t="n">
        <f aca="false">I77-J76</f>
        <v>0</v>
      </c>
      <c r="K77" s="498" t="n">
        <f aca="false">J77-K76</f>
        <v>0</v>
      </c>
      <c r="L77" s="498" t="n">
        <f aca="false">K77-L76</f>
        <v>0</v>
      </c>
      <c r="M77" s="498" t="n">
        <f aca="false">L77-M76</f>
        <v>0</v>
      </c>
      <c r="N77" s="498" t="n">
        <f aca="false">M77-N76</f>
        <v>0</v>
      </c>
      <c r="O77" s="499"/>
      <c r="P77" s="102"/>
      <c r="Q77" s="102"/>
    </row>
    <row r="78" customFormat="false" ht="13.8" hidden="false" customHeight="false" outlineLevel="0" collapsed="false">
      <c r="B78" s="120" t="s">
        <v>270</v>
      </c>
      <c r="C78" s="500"/>
      <c r="D78" s="500"/>
      <c r="E78" s="500"/>
      <c r="F78" s="500"/>
      <c r="G78" s="500"/>
      <c r="H78" s="500"/>
      <c r="I78" s="500"/>
      <c r="J78" s="500"/>
      <c r="K78" s="500"/>
      <c r="L78" s="500"/>
      <c r="M78" s="500"/>
      <c r="N78" s="500"/>
      <c r="O78" s="500"/>
      <c r="P78" s="102"/>
      <c r="Q78" s="102"/>
    </row>
    <row r="79" customFormat="false" ht="13.8" hidden="false" customHeight="false" outlineLevel="0" collapsed="false">
      <c r="B79" s="455" t="s">
        <v>160</v>
      </c>
      <c r="C79" s="370" t="n">
        <f aca="false">IF($C$71&lt;13,0,ABS(IPMT($C$70/12,13,$C$71,$C$69)))</f>
        <v>0</v>
      </c>
      <c r="D79" s="370" t="n">
        <f aca="false">IF($C$71&lt;14,0,ABS(IPMT($C$70/12,14,$C$71,$C$69)))</f>
        <v>0</v>
      </c>
      <c r="E79" s="370" t="n">
        <f aca="false">IF($C$71&lt;15,0,ABS(IPMT($C$70/12,15,$C$71,$C$69)))</f>
        <v>0</v>
      </c>
      <c r="F79" s="370" t="n">
        <f aca="false">IF($C$71&lt;16,0,ABS(IPMT($C$70/12,16,$C$71,$C$69)))</f>
        <v>0</v>
      </c>
      <c r="G79" s="370" t="n">
        <f aca="false">IF($C$71&lt;17,0,ABS(IPMT($C$70/12,17,$C$71,$C$69)))</f>
        <v>0</v>
      </c>
      <c r="H79" s="370" t="n">
        <f aca="false">IF($C$71&lt;18,0,ABS(IPMT($C$70/12,18,$C$71,$C$69)))</f>
        <v>0</v>
      </c>
      <c r="I79" s="370" t="n">
        <f aca="false">IF($C$71&lt;19,0,ABS(IPMT($C$70/12,19,$C$71,$C$69)))</f>
        <v>0</v>
      </c>
      <c r="J79" s="370" t="n">
        <f aca="false">IF($C$71&lt;20,0,ABS(IPMT($C$70/12,20,$C$71,$C$69)))</f>
        <v>0</v>
      </c>
      <c r="K79" s="370" t="n">
        <f aca="false">IF($C$71&lt;21,0,ABS(IPMT($C$70/12,21,$C$71,$C$69)))</f>
        <v>0</v>
      </c>
      <c r="L79" s="370" t="n">
        <f aca="false">IF($C$71&lt;22,0,ABS(IPMT($C$70/12,22,$C$71,$C$69)))</f>
        <v>0</v>
      </c>
      <c r="M79" s="370" t="n">
        <f aca="false">IF($C$71&lt;23,0,ABS(IPMT($C$70/12,23,$C$71,$C$69)))</f>
        <v>0</v>
      </c>
      <c r="N79" s="370" t="n">
        <f aca="false">IF($C$71&lt;24,0,ABS(IPMT($C$70/12,24,$C$71,$C$69)))</f>
        <v>0</v>
      </c>
      <c r="O79" s="497" t="n">
        <f aca="false">SUM(C79:N79)</f>
        <v>0</v>
      </c>
      <c r="P79" s="102"/>
      <c r="Q79" s="102"/>
    </row>
    <row r="80" customFormat="false" ht="13.8" hidden="false" customHeight="false" outlineLevel="0" collapsed="false">
      <c r="B80" s="455" t="s">
        <v>348</v>
      </c>
      <c r="C80" s="370" t="n">
        <f aca="false">IF($C$71&lt;13,0,ABS(PPMT($C$70/12,13,$C$71,$C$69)))</f>
        <v>0</v>
      </c>
      <c r="D80" s="370" t="n">
        <f aca="false">IF($C$71&lt;14,0,ABS(PPMT($C$70/12,14,$C$71,$C$69)))</f>
        <v>0</v>
      </c>
      <c r="E80" s="370" t="n">
        <f aca="false">IF($C$71&lt;15,0,ABS(PPMT($C$70/12,15,$C$71,$C$69)))</f>
        <v>0</v>
      </c>
      <c r="F80" s="370" t="n">
        <f aca="false">IF($C$71&lt;16,0,ABS(PPMT($C$70/12,16,$C$71,$C$69)))</f>
        <v>0</v>
      </c>
      <c r="G80" s="370" t="n">
        <f aca="false">IF($C$71&lt;17,0,ABS(PPMT($C$70/12,17,$C$71,$C$69)))</f>
        <v>0</v>
      </c>
      <c r="H80" s="370" t="n">
        <f aca="false">IF($C$71&lt;18,0,ABS(PPMT($C$70/12,18,$C$71,$C$69)))</f>
        <v>0</v>
      </c>
      <c r="I80" s="370" t="n">
        <f aca="false">IF($C$71&lt;19,0,ABS(PPMT($C$70/12,19,$C$71,$C$69)))</f>
        <v>0</v>
      </c>
      <c r="J80" s="370" t="n">
        <f aca="false">IF($C$71&lt;20,0,ABS(PPMT($C$70/12,20,$C$71,$C$69)))</f>
        <v>0</v>
      </c>
      <c r="K80" s="370" t="n">
        <f aca="false">IF($C$71&lt;21,0,ABS(PPMT($C$70/12,21,$C$71,$C$69)))</f>
        <v>0</v>
      </c>
      <c r="L80" s="370" t="n">
        <f aca="false">IF($C$71&lt;22,0,ABS(PPMT($C$70/12,22,$C$71,$C$69)))</f>
        <v>0</v>
      </c>
      <c r="M80" s="370" t="n">
        <f aca="false">IF($C$71&lt;23,0,ABS(PPMT($C$70/12,23,$C$71,$C$69)))</f>
        <v>0</v>
      </c>
      <c r="N80" s="370" t="n">
        <f aca="false">IF($C$71&lt;24,0,ABS(PPMT($C$70/12,24,$C$71,$C$69)))</f>
        <v>0</v>
      </c>
      <c r="O80" s="497" t="n">
        <f aca="false">SUM(C80:N80)</f>
        <v>0</v>
      </c>
      <c r="P80" s="102"/>
      <c r="Q80" s="102"/>
    </row>
    <row r="81" customFormat="false" ht="13.8" hidden="false" customHeight="false" outlineLevel="0" collapsed="false">
      <c r="B81" s="455" t="s">
        <v>349</v>
      </c>
      <c r="C81" s="498" t="n">
        <f aca="false">N77-C80</f>
        <v>0</v>
      </c>
      <c r="D81" s="498" t="n">
        <f aca="false">C81-D80</f>
        <v>0</v>
      </c>
      <c r="E81" s="498" t="n">
        <f aca="false">D81-E80</f>
        <v>0</v>
      </c>
      <c r="F81" s="498" t="n">
        <f aca="false">E81-F80</f>
        <v>0</v>
      </c>
      <c r="G81" s="498" t="n">
        <f aca="false">F81-G80</f>
        <v>0</v>
      </c>
      <c r="H81" s="498" t="n">
        <f aca="false">G81-H80</f>
        <v>0</v>
      </c>
      <c r="I81" s="498" t="n">
        <f aca="false">H81-I80</f>
        <v>0</v>
      </c>
      <c r="J81" s="498" t="n">
        <f aca="false">I81-J80</f>
        <v>0</v>
      </c>
      <c r="K81" s="498" t="n">
        <f aca="false">J81-K80</f>
        <v>0</v>
      </c>
      <c r="L81" s="498" t="n">
        <f aca="false">K81-L80</f>
        <v>0</v>
      </c>
      <c r="M81" s="498" t="n">
        <f aca="false">L81-M80</f>
        <v>0</v>
      </c>
      <c r="N81" s="498" t="n">
        <f aca="false">M81-N80</f>
        <v>0</v>
      </c>
      <c r="O81" s="499"/>
      <c r="P81" s="102"/>
      <c r="Q81" s="102"/>
    </row>
    <row r="82" customFormat="false" ht="13.8" hidden="false" customHeight="false" outlineLevel="0" collapsed="false">
      <c r="B82" s="120" t="s">
        <v>271</v>
      </c>
      <c r="C82" s="500"/>
      <c r="D82" s="500"/>
      <c r="E82" s="500"/>
      <c r="F82" s="500"/>
      <c r="G82" s="500"/>
      <c r="H82" s="500"/>
      <c r="I82" s="500"/>
      <c r="J82" s="500"/>
      <c r="K82" s="500"/>
      <c r="L82" s="500"/>
      <c r="M82" s="500"/>
      <c r="N82" s="500"/>
      <c r="O82" s="500"/>
      <c r="P82" s="102"/>
      <c r="Q82" s="102"/>
    </row>
    <row r="83" customFormat="false" ht="13.8" hidden="false" customHeight="false" outlineLevel="0" collapsed="false">
      <c r="B83" s="455" t="s">
        <v>160</v>
      </c>
      <c r="C83" s="370" t="n">
        <f aca="false">IF($C$71&lt;25,0,ABS(IPMT($C$70/12,25,$C$71,$C$69)))</f>
        <v>0</v>
      </c>
      <c r="D83" s="370" t="n">
        <f aca="false">IF($C$71&lt;26,0,ABS(IPMT($C$70/12,26,$C$71,$C$69)))</f>
        <v>0</v>
      </c>
      <c r="E83" s="370" t="n">
        <f aca="false">IF($C$71&lt;27,0,ABS(IPMT($C$70/12,27,$C$71,$C$69)))</f>
        <v>0</v>
      </c>
      <c r="F83" s="370" t="n">
        <f aca="false">IF($C$71&lt;28,0,ABS(IPMT($C$70/12,28,$C$71,$C$69)))</f>
        <v>0</v>
      </c>
      <c r="G83" s="370" t="n">
        <f aca="false">IF($C$71&lt;29,0,ABS(IPMT($C$70/12,29,$C$71,$C$69)))</f>
        <v>0</v>
      </c>
      <c r="H83" s="370" t="n">
        <f aca="false">IF($C$71&lt;30,0,ABS(IPMT($C$70/12,30,$C$71,$C$69)))</f>
        <v>0</v>
      </c>
      <c r="I83" s="370" t="n">
        <f aca="false">IF($C$71&lt;31,0,ABS(IPMT($C$70/12,31,$C$71,$C$69)))</f>
        <v>0</v>
      </c>
      <c r="J83" s="370" t="n">
        <f aca="false">IF($C$71&lt;32,0,ABS(IPMT($C$70/12,32,$C$71,$C$69)))</f>
        <v>0</v>
      </c>
      <c r="K83" s="370" t="n">
        <f aca="false">IF($C$71&lt;33,0,ABS(IPMT($C$70/12,33,$C$71,$C$69)))</f>
        <v>0</v>
      </c>
      <c r="L83" s="370" t="n">
        <f aca="false">IF($C$71&lt;34,0,ABS(IPMT($C$70/12,34,$C$71,$C$69)))</f>
        <v>0</v>
      </c>
      <c r="M83" s="370" t="n">
        <f aca="false">IF($C$71&lt;34,0,ABS(IPMT($C$70/12,35,$C$71,$C$69)))</f>
        <v>0</v>
      </c>
      <c r="N83" s="370" t="n">
        <f aca="false">IF($C$71&lt;36,0,ABS(IPMT($C$70/12,36,$C$71,$C$69)))</f>
        <v>0</v>
      </c>
      <c r="O83" s="497" t="n">
        <f aca="false">SUM(C83:N83)</f>
        <v>0</v>
      </c>
      <c r="P83" s="102"/>
      <c r="Q83" s="102"/>
    </row>
    <row r="84" customFormat="false" ht="13.8" hidden="false" customHeight="false" outlineLevel="0" collapsed="false">
      <c r="B84" s="455" t="s">
        <v>348</v>
      </c>
      <c r="C84" s="370" t="n">
        <f aca="false">IF($C$71&lt;25,0,ABS(PPMT($C$70/12,25,$C$71,$C$69)))</f>
        <v>0</v>
      </c>
      <c r="D84" s="370" t="n">
        <f aca="false">IF($C$71&lt;26,0,ABS(PPMT($C$70/12,26,$C$71,$C$69)))</f>
        <v>0</v>
      </c>
      <c r="E84" s="370" t="n">
        <f aca="false">IF($C$71&lt;27,0,ABS(PPMT($C$70/12,27,$C$71,$C$69)))</f>
        <v>0</v>
      </c>
      <c r="F84" s="370" t="n">
        <f aca="false">IF($C$71&lt;28,0,ABS(PPMT($C$70/12,28,$C$71,$C$69)))</f>
        <v>0</v>
      </c>
      <c r="G84" s="370" t="n">
        <f aca="false">IF($C$71&lt;29,0,ABS(PPMT($C$70/12,29,$C$71,$C$69)))</f>
        <v>0</v>
      </c>
      <c r="H84" s="370" t="n">
        <f aca="false">IF($C$71&lt;30,0,ABS(PPMT($C$70/12,30,$C$71,$C$69)))</f>
        <v>0</v>
      </c>
      <c r="I84" s="370" t="n">
        <f aca="false">IF($C$71&lt;31,0,ABS(PPMT($C$70/12,31,$C$71,$C$69)))</f>
        <v>0</v>
      </c>
      <c r="J84" s="370" t="n">
        <f aca="false">IF($C$71&lt;32,0,ABS(PPMT($C$70/12,32,$C$71,$C$69)))</f>
        <v>0</v>
      </c>
      <c r="K84" s="370" t="n">
        <f aca="false">IF($C$71&lt;33,0,ABS(PPMT($C$70/12,33,$C$71,$C$69)))</f>
        <v>0</v>
      </c>
      <c r="L84" s="370" t="n">
        <f aca="false">IF($C$71&lt;34,0,ABS(PPMT($C$70/12,34,$C$71,$C$69)))</f>
        <v>0</v>
      </c>
      <c r="M84" s="370" t="n">
        <f aca="false">ABS(PPMT($C$70/12,35,$C$71,$C$69))</f>
        <v>0</v>
      </c>
      <c r="N84" s="370" t="n">
        <f aca="false">IF($C$71&lt;36,0,ABS(PPMT($C$70/12,36,$C$71,$C$69)))</f>
        <v>0</v>
      </c>
      <c r="O84" s="497" t="n">
        <f aca="false">SUM(C84:N84)</f>
        <v>0</v>
      </c>
      <c r="P84" s="102"/>
      <c r="Q84" s="102"/>
    </row>
    <row r="85" customFormat="false" ht="13.8" hidden="false" customHeight="false" outlineLevel="0" collapsed="false">
      <c r="B85" s="455" t="s">
        <v>349</v>
      </c>
      <c r="C85" s="498" t="n">
        <f aca="false">N81-C84</f>
        <v>0</v>
      </c>
      <c r="D85" s="498" t="n">
        <f aca="false">C85-D84</f>
        <v>0</v>
      </c>
      <c r="E85" s="498" t="n">
        <f aca="false">D85-E84</f>
        <v>0</v>
      </c>
      <c r="F85" s="498" t="n">
        <f aca="false">E85-F84</f>
        <v>0</v>
      </c>
      <c r="G85" s="498" t="n">
        <f aca="false">F85-G84</f>
        <v>0</v>
      </c>
      <c r="H85" s="498" t="n">
        <f aca="false">G85-H84</f>
        <v>0</v>
      </c>
      <c r="I85" s="498" t="n">
        <f aca="false">H85-I84</f>
        <v>0</v>
      </c>
      <c r="J85" s="498" t="n">
        <f aca="false">I85-J84</f>
        <v>0</v>
      </c>
      <c r="K85" s="498" t="n">
        <f aca="false">J85-K84</f>
        <v>0</v>
      </c>
      <c r="L85" s="498" t="n">
        <f aca="false">K85-L84</f>
        <v>0</v>
      </c>
      <c r="M85" s="498" t="n">
        <f aca="false">L85-M84</f>
        <v>0</v>
      </c>
      <c r="N85" s="498" t="n">
        <f aca="false">M85-N84</f>
        <v>0</v>
      </c>
      <c r="O85" s="499"/>
      <c r="P85" s="102"/>
      <c r="Q85" s="102"/>
    </row>
    <row r="86" customFormat="false" ht="13.8" hidden="false" customHeight="false" outlineLevel="0" collapsed="false">
      <c r="B86" s="94"/>
      <c r="C86" s="94"/>
      <c r="D86" s="102"/>
      <c r="E86" s="102"/>
      <c r="F86" s="102"/>
      <c r="G86" s="102"/>
      <c r="H86" s="102"/>
      <c r="I86" s="102"/>
      <c r="J86" s="102"/>
      <c r="K86" s="102"/>
      <c r="L86" s="102"/>
      <c r="M86" s="102"/>
      <c r="N86" s="102"/>
      <c r="O86" s="102"/>
      <c r="P86" s="102"/>
      <c r="Q86" s="102"/>
    </row>
    <row r="87" customFormat="false" ht="13.8" hidden="false" customHeight="false" outlineLevel="0" collapsed="false">
      <c r="B87" s="94"/>
      <c r="C87" s="94"/>
      <c r="D87" s="102"/>
      <c r="E87" s="102"/>
      <c r="F87" s="102"/>
      <c r="G87" s="102"/>
      <c r="H87" s="102"/>
      <c r="I87" s="102"/>
      <c r="J87" s="102"/>
      <c r="K87" s="102"/>
      <c r="L87" s="102"/>
      <c r="M87" s="102"/>
      <c r="N87" s="102"/>
      <c r="O87" s="102"/>
      <c r="P87" s="102"/>
      <c r="Q87" s="102"/>
    </row>
    <row r="88" customFormat="false" ht="14.4" hidden="false" customHeight="true" outlineLevel="0" collapsed="false">
      <c r="B88" s="104" t="s">
        <v>51</v>
      </c>
      <c r="C88" s="104"/>
      <c r="D88" s="102"/>
      <c r="E88" s="102"/>
      <c r="F88" s="102"/>
      <c r="G88" s="102"/>
      <c r="H88" s="102"/>
      <c r="I88" s="102"/>
      <c r="J88" s="102"/>
      <c r="K88" s="102"/>
      <c r="L88" s="102"/>
      <c r="M88" s="102"/>
      <c r="N88" s="102"/>
      <c r="O88" s="102"/>
      <c r="P88" s="102"/>
      <c r="Q88" s="102"/>
    </row>
    <row r="89" customFormat="false" ht="14.4" hidden="false" customHeight="false" outlineLevel="0" collapsed="false">
      <c r="B89" s="286" t="s">
        <v>344</v>
      </c>
      <c r="C89" s="506" t="n">
        <f aca="false">OtherBankDebt</f>
        <v>0</v>
      </c>
      <c r="D89" s="102"/>
      <c r="E89" s="102"/>
      <c r="F89" s="102"/>
      <c r="G89" s="102"/>
      <c r="H89" s="102"/>
      <c r="I89" s="102"/>
      <c r="J89" s="102"/>
      <c r="K89" s="102"/>
      <c r="L89" s="102"/>
      <c r="M89" s="102"/>
      <c r="N89" s="102"/>
      <c r="O89" s="102"/>
      <c r="P89" s="102"/>
      <c r="Q89" s="102"/>
    </row>
    <row r="90" customFormat="false" ht="13.8" hidden="false" customHeight="false" outlineLevel="0" collapsed="false">
      <c r="B90" s="120" t="s">
        <v>345</v>
      </c>
      <c r="C90" s="502" t="n">
        <f aca="false">'1-StartingPoint'!E41</f>
        <v>0.05</v>
      </c>
      <c r="D90" s="102"/>
      <c r="E90" s="102"/>
      <c r="F90" s="102"/>
      <c r="G90" s="102"/>
      <c r="H90" s="102"/>
      <c r="I90" s="102"/>
      <c r="J90" s="102"/>
      <c r="K90" s="102"/>
      <c r="L90" s="102"/>
      <c r="M90" s="102"/>
      <c r="N90" s="102"/>
      <c r="O90" s="102"/>
      <c r="P90" s="102"/>
      <c r="Q90" s="102"/>
    </row>
    <row r="91" customFormat="false" ht="13.8" hidden="false" customHeight="false" outlineLevel="0" collapsed="false">
      <c r="B91" s="120" t="s">
        <v>346</v>
      </c>
      <c r="C91" s="503" t="n">
        <f aca="false">'1-StartingPoint'!F41</f>
        <v>36</v>
      </c>
      <c r="D91" s="102"/>
      <c r="E91" s="102"/>
      <c r="F91" s="102"/>
      <c r="G91" s="102"/>
      <c r="H91" s="102"/>
      <c r="I91" s="102"/>
      <c r="J91" s="102"/>
      <c r="K91" s="102"/>
      <c r="L91" s="102"/>
      <c r="M91" s="102"/>
      <c r="N91" s="102"/>
      <c r="O91" s="102"/>
      <c r="P91" s="102"/>
      <c r="Q91" s="102"/>
    </row>
    <row r="92" customFormat="false" ht="13.8" hidden="false" customHeight="false" outlineLevel="0" collapsed="false">
      <c r="B92" s="120" t="s">
        <v>347</v>
      </c>
      <c r="C92" s="504" t="n">
        <f aca="false">ABS(PMT(C90/12,C91,C89))</f>
        <v>0</v>
      </c>
      <c r="D92" s="102"/>
      <c r="E92" s="102"/>
      <c r="F92" s="102"/>
      <c r="G92" s="102"/>
      <c r="H92" s="102"/>
      <c r="I92" s="102"/>
      <c r="J92" s="102"/>
      <c r="K92" s="102"/>
      <c r="L92" s="102"/>
      <c r="M92" s="102"/>
      <c r="N92" s="102"/>
      <c r="O92" s="102"/>
      <c r="P92" s="102"/>
      <c r="Q92" s="102"/>
    </row>
    <row r="93" customFormat="false" ht="13.8" hidden="false" customHeight="false" outlineLevel="0" collapsed="false">
      <c r="B93" s="120"/>
      <c r="C93" s="496" t="str">
        <f aca="false">'3a-SalesForecastYear1'!$C$16</f>
        <v>Month 1</v>
      </c>
      <c r="D93" s="496" t="str">
        <f aca="false">'3a-SalesForecastYear1'!$D$16</f>
        <v>Month 2</v>
      </c>
      <c r="E93" s="496" t="str">
        <f aca="false">'3a-SalesForecastYear1'!$E$16</f>
        <v>Month 3</v>
      </c>
      <c r="F93" s="496" t="str">
        <f aca="false">'3a-SalesForecastYear1'!$F$16</f>
        <v>Month 4</v>
      </c>
      <c r="G93" s="496" t="str">
        <f aca="false">'3a-SalesForecastYear1'!$G$16</f>
        <v>Month 5</v>
      </c>
      <c r="H93" s="496" t="str">
        <f aca="false">'3a-SalesForecastYear1'!$H$16</f>
        <v>Month 6</v>
      </c>
      <c r="I93" s="496" t="str">
        <f aca="false">'3a-SalesForecastYear1'!$I$16</f>
        <v>Month 7</v>
      </c>
      <c r="J93" s="496" t="str">
        <f aca="false">'3a-SalesForecastYear1'!$J$16</f>
        <v>Month 8</v>
      </c>
      <c r="K93" s="496" t="str">
        <f aca="false">'3a-SalesForecastYear1'!$K$16</f>
        <v>Month 9</v>
      </c>
      <c r="L93" s="496" t="str">
        <f aca="false">'3a-SalesForecastYear1'!$L$16</f>
        <v>Month 10</v>
      </c>
      <c r="M93" s="496" t="str">
        <f aca="false">'3a-SalesForecastYear1'!$M$16</f>
        <v>Month 11</v>
      </c>
      <c r="N93" s="496" t="str">
        <f aca="false">'3a-SalesForecastYear1'!$N$16</f>
        <v>Month 12</v>
      </c>
      <c r="O93" s="496" t="s">
        <v>39</v>
      </c>
      <c r="P93" s="102"/>
      <c r="Q93" s="102"/>
    </row>
    <row r="94" customFormat="false" ht="13.8" hidden="false" customHeight="false" outlineLevel="0" collapsed="false">
      <c r="B94" s="120" t="s">
        <v>269</v>
      </c>
      <c r="C94" s="113"/>
      <c r="D94" s="113"/>
      <c r="E94" s="113"/>
      <c r="F94" s="113"/>
      <c r="G94" s="113"/>
      <c r="H94" s="113"/>
      <c r="I94" s="113"/>
      <c r="J94" s="113"/>
      <c r="K94" s="113"/>
      <c r="L94" s="113"/>
      <c r="M94" s="113"/>
      <c r="N94" s="113"/>
      <c r="O94" s="113"/>
      <c r="P94" s="102"/>
      <c r="Q94" s="102"/>
    </row>
    <row r="95" customFormat="false" ht="13.8" hidden="false" customHeight="false" outlineLevel="0" collapsed="false">
      <c r="B95" s="455" t="s">
        <v>160</v>
      </c>
      <c r="C95" s="370" t="n">
        <f aca="false">ABS(IPMT($C$90/12,1,$C$91,$C$89))</f>
        <v>0</v>
      </c>
      <c r="D95" s="370" t="n">
        <f aca="false">ABS(IPMT($C$90/12,2,$C$91,$C$89))</f>
        <v>0</v>
      </c>
      <c r="E95" s="370" t="n">
        <f aca="false">ABS(IPMT($C$90/12,3,$C$91,$C$89))</f>
        <v>0</v>
      </c>
      <c r="F95" s="370" t="n">
        <f aca="false">ABS(IPMT($C$90/12,4,$C$91,$C$89))</f>
        <v>0</v>
      </c>
      <c r="G95" s="370" t="n">
        <f aca="false">ABS(IPMT($C$90/12,5,$C$91,$C$89))</f>
        <v>0</v>
      </c>
      <c r="H95" s="370" t="n">
        <f aca="false">ABS(IPMT($C$90/12,6,$C$91,$C$89))</f>
        <v>0</v>
      </c>
      <c r="I95" s="370" t="n">
        <f aca="false">ABS(IPMT($C$90/12,7,$C$91,$C$89))</f>
        <v>0</v>
      </c>
      <c r="J95" s="370" t="n">
        <f aca="false">ABS(IPMT($C$90/12,8,$C$91,$C$89))</f>
        <v>0</v>
      </c>
      <c r="K95" s="370" t="n">
        <f aca="false">ABS(IPMT($C$90/12,9,$C$91,$C$89))</f>
        <v>0</v>
      </c>
      <c r="L95" s="370" t="n">
        <f aca="false">ABS(IPMT($C$90/12,10,$C$91,$C$89))</f>
        <v>0</v>
      </c>
      <c r="M95" s="370" t="n">
        <f aca="false">ABS(IPMT($C$90/12,11,$C$91,$C$89))</f>
        <v>0</v>
      </c>
      <c r="N95" s="370" t="n">
        <f aca="false">ABS(IPMT($C$90/12,12,$C$91,$C$89))</f>
        <v>0</v>
      </c>
      <c r="O95" s="497" t="n">
        <f aca="false">SUM(C95:N95)</f>
        <v>0</v>
      </c>
      <c r="P95" s="102"/>
      <c r="Q95" s="102"/>
    </row>
    <row r="96" customFormat="false" ht="13.8" hidden="false" customHeight="false" outlineLevel="0" collapsed="false">
      <c r="B96" s="455" t="s">
        <v>348</v>
      </c>
      <c r="C96" s="370" t="n">
        <f aca="false">ABS(PPMT($C$90/12,1,$C$91,$C$89))</f>
        <v>0</v>
      </c>
      <c r="D96" s="370" t="n">
        <f aca="false">ABS(PPMT($C$90/12,2,$C$91,$C$89))</f>
        <v>0</v>
      </c>
      <c r="E96" s="370" t="n">
        <f aca="false">ABS(PPMT($C$90/12,3,$C$91,$C$89))</f>
        <v>0</v>
      </c>
      <c r="F96" s="370" t="n">
        <f aca="false">ABS(PPMT($C$90/12,4,$C$91,$C$89))</f>
        <v>0</v>
      </c>
      <c r="G96" s="370" t="n">
        <f aca="false">ABS(PPMT($C$90/12,5,$C$91,$C$89))</f>
        <v>0</v>
      </c>
      <c r="H96" s="370" t="n">
        <f aca="false">ABS(PPMT($C$90/12,6,$C$91,$C$89))</f>
        <v>0</v>
      </c>
      <c r="I96" s="370" t="n">
        <f aca="false">ABS(PPMT($C$90/12,7,$C$91,$C$89))</f>
        <v>0</v>
      </c>
      <c r="J96" s="370" t="n">
        <f aca="false">ABS(PPMT($C$90/12,8,$C$91,$C$89))</f>
        <v>0</v>
      </c>
      <c r="K96" s="370" t="n">
        <f aca="false">ABS(PPMT($C$90/12,9,$C$91,$C$89))</f>
        <v>0</v>
      </c>
      <c r="L96" s="370" t="n">
        <f aca="false">ABS(PPMT($C$90/12,10,$C$91,$C$89))</f>
        <v>0</v>
      </c>
      <c r="M96" s="370" t="n">
        <f aca="false">ABS(PPMT($C$90/12,11,$C$91,$C$89))</f>
        <v>0</v>
      </c>
      <c r="N96" s="370" t="n">
        <f aca="false">ABS(PPMT($C$90/12,12,$C$91,$C$89))</f>
        <v>0</v>
      </c>
      <c r="O96" s="497" t="n">
        <f aca="false">SUM(C96:N96)</f>
        <v>0</v>
      </c>
      <c r="P96" s="102"/>
      <c r="Q96" s="102"/>
    </row>
    <row r="97" customFormat="false" ht="13.8" hidden="false" customHeight="false" outlineLevel="0" collapsed="false">
      <c r="B97" s="455" t="s">
        <v>349</v>
      </c>
      <c r="C97" s="498" t="n">
        <f aca="false">$C$89-C96</f>
        <v>0</v>
      </c>
      <c r="D97" s="498" t="n">
        <f aca="false">C97-D96</f>
        <v>0</v>
      </c>
      <c r="E97" s="498" t="n">
        <f aca="false">D97-E96</f>
        <v>0</v>
      </c>
      <c r="F97" s="498" t="n">
        <f aca="false">E97-F96</f>
        <v>0</v>
      </c>
      <c r="G97" s="498" t="n">
        <f aca="false">F97-G96</f>
        <v>0</v>
      </c>
      <c r="H97" s="498" t="n">
        <f aca="false">G97-H96</f>
        <v>0</v>
      </c>
      <c r="I97" s="498" t="n">
        <f aca="false">H97-I96</f>
        <v>0</v>
      </c>
      <c r="J97" s="498" t="n">
        <f aca="false">I97-J96</f>
        <v>0</v>
      </c>
      <c r="K97" s="498" t="n">
        <f aca="false">J97-K96</f>
        <v>0</v>
      </c>
      <c r="L97" s="498" t="n">
        <f aca="false">K97-L96</f>
        <v>0</v>
      </c>
      <c r="M97" s="498" t="n">
        <f aca="false">L97-M96</f>
        <v>0</v>
      </c>
      <c r="N97" s="498" t="n">
        <f aca="false">M97-N96</f>
        <v>0</v>
      </c>
      <c r="O97" s="499"/>
      <c r="P97" s="102"/>
      <c r="Q97" s="102"/>
    </row>
    <row r="98" customFormat="false" ht="13.8" hidden="false" customHeight="false" outlineLevel="0" collapsed="false">
      <c r="B98" s="120" t="s">
        <v>270</v>
      </c>
      <c r="C98" s="500"/>
      <c r="D98" s="500"/>
      <c r="E98" s="500"/>
      <c r="F98" s="500"/>
      <c r="G98" s="500"/>
      <c r="H98" s="500"/>
      <c r="I98" s="500"/>
      <c r="J98" s="500"/>
      <c r="K98" s="500"/>
      <c r="L98" s="500"/>
      <c r="M98" s="500"/>
      <c r="N98" s="500"/>
      <c r="O98" s="500"/>
      <c r="P98" s="102"/>
      <c r="Q98" s="102"/>
    </row>
    <row r="99" customFormat="false" ht="13.8" hidden="false" customHeight="false" outlineLevel="0" collapsed="false">
      <c r="B99" s="455" t="s">
        <v>160</v>
      </c>
      <c r="C99" s="370" t="n">
        <f aca="false">IF($C$91&lt;13,0,ABS(IPMT($C$90/12,13,$C$91,$C$89)))</f>
        <v>0</v>
      </c>
      <c r="D99" s="370" t="n">
        <f aca="false">IF($C$91&lt;14,0,ABS(IPMT($C$90/12,14,$C$91,$C$89)))</f>
        <v>0</v>
      </c>
      <c r="E99" s="370" t="n">
        <f aca="false">IF($C$91&lt;15,0,ABS(IPMT($C$90/12,15,$C$91,$C$89)))</f>
        <v>0</v>
      </c>
      <c r="F99" s="370" t="n">
        <f aca="false">IF($C$91&lt;16,0,ABS(IPMT($C$90/12,16,$C$91,$C$89)))</f>
        <v>0</v>
      </c>
      <c r="G99" s="370" t="n">
        <f aca="false">IF($C$91&lt;17,0,ABS(IPMT($C$90/12,17,$C$91,$C$89)))</f>
        <v>0</v>
      </c>
      <c r="H99" s="370" t="n">
        <f aca="false">IF($C$91&lt;18,0,ABS(IPMT($C$90/12,18,$C$91,$C$89)))</f>
        <v>0</v>
      </c>
      <c r="I99" s="370" t="n">
        <f aca="false">IF($C$91&lt;19,0,ABS(IPMT($C$90/12,19,$C$91,$C$89)))</f>
        <v>0</v>
      </c>
      <c r="J99" s="370" t="n">
        <f aca="false">IF($C$91&lt;20,0,ABS(IPMT($C$90/12,20,$C$91,$C$89)))</f>
        <v>0</v>
      </c>
      <c r="K99" s="370" t="n">
        <f aca="false">IF($C$91&lt;21,0,ABS(IPMT($C$90/12,21,$C$91,$C$89)))</f>
        <v>0</v>
      </c>
      <c r="L99" s="370" t="n">
        <f aca="false">IF($C$91&lt;22,0,ABS(IPMT($C$90/12,22,$C$91,$C$89)))</f>
        <v>0</v>
      </c>
      <c r="M99" s="370" t="n">
        <f aca="false">IF($C$91&lt;23,0,ABS(IPMT($C$90/23,11,$C$91,$C$89)))</f>
        <v>0</v>
      </c>
      <c r="N99" s="370" t="n">
        <f aca="false">IF($C$91&lt;24,0,ABS(IPMT($C$90/12,24,$C$91,$C$89)))</f>
        <v>0</v>
      </c>
      <c r="O99" s="497" t="n">
        <f aca="false">SUM(C99:N99)</f>
        <v>0</v>
      </c>
      <c r="P99" s="102"/>
      <c r="Q99" s="102"/>
    </row>
    <row r="100" customFormat="false" ht="13.8" hidden="false" customHeight="false" outlineLevel="0" collapsed="false">
      <c r="B100" s="455" t="s">
        <v>348</v>
      </c>
      <c r="C100" s="370" t="n">
        <f aca="false">IF($C$91&lt;13,0,ABS(PPMT($C$90/12,13,$C$91,$C$89)))</f>
        <v>0</v>
      </c>
      <c r="D100" s="370" t="n">
        <f aca="false">IF($C$91&lt;14,0,ABS(PPMT($C$90/12,14,$C$91,$C$89)))</f>
        <v>0</v>
      </c>
      <c r="E100" s="370" t="n">
        <f aca="false">IF($C$91&lt;15,0,ABS(PPMT($C$90/12,15,$C$91,$C$89)))</f>
        <v>0</v>
      </c>
      <c r="F100" s="370" t="n">
        <f aca="false">IF($C$91&lt;16,0,ABS(PPMT($C$90/12,16,$C$91,$C$89)))</f>
        <v>0</v>
      </c>
      <c r="G100" s="370" t="n">
        <f aca="false">IF($C$91&lt;17,0,ABS(PPMT($C$90/12,17,$C$91,$C$89)))</f>
        <v>0</v>
      </c>
      <c r="H100" s="370" t="n">
        <f aca="false">IF($C$91&lt;18,0,ABS(PPMT($C$90/12,18,$C$91,$C$89)))</f>
        <v>0</v>
      </c>
      <c r="I100" s="370" t="n">
        <f aca="false">IF($C$91&lt;19,0,ABS(PPMT($C$90/12,19,$C$91,$C$89)))</f>
        <v>0</v>
      </c>
      <c r="J100" s="370" t="n">
        <f aca="false">IF($C$91&lt;20,0,ABS(PPMT($C$90/12,20,$C$91,$C$89)))</f>
        <v>0</v>
      </c>
      <c r="K100" s="370" t="n">
        <f aca="false">IF($C$91&lt;21,0,ABS(PPMT($C$90/12,21,$C$91,$C$89)))</f>
        <v>0</v>
      </c>
      <c r="L100" s="370" t="n">
        <f aca="false">IF($C$91&lt;22,0,ABS(PPMT($C$90/12,22,$C$91,$C$89)))</f>
        <v>0</v>
      </c>
      <c r="M100" s="370" t="n">
        <f aca="false">IF($C$91&lt;23,0,ABS(PPMT($C$90/12,23,$C$91,$C$89)))</f>
        <v>0</v>
      </c>
      <c r="N100" s="370" t="n">
        <f aca="false">IF($C$91&lt;24,0,ABS(PPMT($C$90/12,24,$C$91,$C$89)))</f>
        <v>0</v>
      </c>
      <c r="O100" s="497" t="n">
        <f aca="false">SUM(C100:N100)</f>
        <v>0</v>
      </c>
      <c r="P100" s="102"/>
      <c r="Q100" s="102"/>
    </row>
    <row r="101" customFormat="false" ht="13.8" hidden="false" customHeight="false" outlineLevel="0" collapsed="false">
      <c r="B101" s="455" t="s">
        <v>349</v>
      </c>
      <c r="C101" s="498" t="n">
        <f aca="false">N97-C100</f>
        <v>0</v>
      </c>
      <c r="D101" s="498" t="n">
        <f aca="false">C101-D100</f>
        <v>0</v>
      </c>
      <c r="E101" s="498" t="n">
        <f aca="false">D101-E100</f>
        <v>0</v>
      </c>
      <c r="F101" s="498" t="n">
        <f aca="false">E101-F100</f>
        <v>0</v>
      </c>
      <c r="G101" s="498" t="n">
        <f aca="false">F101-G100</f>
        <v>0</v>
      </c>
      <c r="H101" s="498" t="n">
        <f aca="false">G101-H100</f>
        <v>0</v>
      </c>
      <c r="I101" s="498" t="n">
        <f aca="false">H101-I100</f>
        <v>0</v>
      </c>
      <c r="J101" s="498" t="n">
        <f aca="false">I101-J100</f>
        <v>0</v>
      </c>
      <c r="K101" s="498" t="n">
        <f aca="false">J101-K100</f>
        <v>0</v>
      </c>
      <c r="L101" s="498" t="n">
        <f aca="false">K101-L100</f>
        <v>0</v>
      </c>
      <c r="M101" s="498" t="n">
        <f aca="false">L101-M100</f>
        <v>0</v>
      </c>
      <c r="N101" s="498" t="n">
        <f aca="false">M101-N100</f>
        <v>0</v>
      </c>
      <c r="O101" s="499"/>
      <c r="P101" s="102"/>
      <c r="Q101" s="102"/>
    </row>
    <row r="102" customFormat="false" ht="13.8" hidden="false" customHeight="false" outlineLevel="0" collapsed="false">
      <c r="B102" s="120" t="s">
        <v>271</v>
      </c>
      <c r="C102" s="500"/>
      <c r="D102" s="500"/>
      <c r="E102" s="500"/>
      <c r="F102" s="500"/>
      <c r="G102" s="500"/>
      <c r="H102" s="500"/>
      <c r="I102" s="500"/>
      <c r="J102" s="500"/>
      <c r="K102" s="500"/>
      <c r="L102" s="500"/>
      <c r="M102" s="500"/>
      <c r="N102" s="500"/>
      <c r="O102" s="500"/>
      <c r="P102" s="102"/>
      <c r="Q102" s="102"/>
    </row>
    <row r="103" customFormat="false" ht="13.8" hidden="false" customHeight="false" outlineLevel="0" collapsed="false">
      <c r="B103" s="455" t="s">
        <v>160</v>
      </c>
      <c r="C103" s="370" t="n">
        <f aca="false">IF($C$91&lt;25,0,ABS(IPMT($C$90/12,25,$C$91,$C$89)))</f>
        <v>0</v>
      </c>
      <c r="D103" s="370" t="n">
        <f aca="false">IF($C$91&lt;26,0,ABS(IPMT($C$90/12,26,$C$91,$C$89)))</f>
        <v>0</v>
      </c>
      <c r="E103" s="370" t="n">
        <f aca="false">IF($C$91&lt;27,0,ABS(IPMT($C$90/12,27,$C$91,$C$89)))</f>
        <v>0</v>
      </c>
      <c r="F103" s="370" t="n">
        <f aca="false">IF($C$91&lt;28,0,ABS(IPMT($C$90/12,28,$C$91,$C$89)))</f>
        <v>0</v>
      </c>
      <c r="G103" s="370" t="n">
        <f aca="false">IF($C$91&lt;29,0,ABS(IPMT($C$90/12,29,$C$91,$C$89)))</f>
        <v>0</v>
      </c>
      <c r="H103" s="370" t="n">
        <f aca="false">IF($C$91&lt;30,0,ABS(IPMT($C$90/12,30,$C$91,$C$89)))</f>
        <v>0</v>
      </c>
      <c r="I103" s="370" t="n">
        <f aca="false">IF($C$91&lt;31,0,ABS(IPMT($C$90/12,31,$C$91,$C$89)))</f>
        <v>0</v>
      </c>
      <c r="J103" s="370" t="n">
        <f aca="false">IF($C$91&lt;32,0,ABS(IPMT($C$90/12,32,$C$91,$C$89)))</f>
        <v>0</v>
      </c>
      <c r="K103" s="370" t="n">
        <f aca="false">IF($C$91&lt;33,0,ABS(IPMT($C$90/12,33,$C$91,$C$89)))</f>
        <v>0</v>
      </c>
      <c r="L103" s="370" t="n">
        <f aca="false">IF($C$91&lt;34,0,ABS(IPMT($C$90/12,34,$C$91,$C$89)))</f>
        <v>0</v>
      </c>
      <c r="M103" s="370" t="n">
        <f aca="false">IF($C$91&lt;35,0,ABS(IPMT($C$90/12,35,$C$91,$C$89)))</f>
        <v>0</v>
      </c>
      <c r="N103" s="370" t="n">
        <f aca="false">IF($C$91&lt;36,0,ABS(IPMT($C$90/12,36,$C$91,$C$89)))</f>
        <v>0</v>
      </c>
      <c r="O103" s="497" t="n">
        <f aca="false">SUM(C103:N103)</f>
        <v>0</v>
      </c>
      <c r="P103" s="102"/>
      <c r="Q103" s="102"/>
    </row>
    <row r="104" customFormat="false" ht="13.8" hidden="false" customHeight="false" outlineLevel="0" collapsed="false">
      <c r="B104" s="455" t="s">
        <v>348</v>
      </c>
      <c r="C104" s="370" t="n">
        <f aca="false">IF($C$91&lt;25,0,ABS(PPMT($C$90/12,25,$C$91,$C$89)))</f>
        <v>0</v>
      </c>
      <c r="D104" s="370" t="n">
        <f aca="false">IF($C$91&lt;26,0,ABS(PPMT($C$90/12,26,$C$91,$C$89)))</f>
        <v>0</v>
      </c>
      <c r="E104" s="370" t="n">
        <f aca="false">IF($C$91&lt;27,0,ABS(PPMT($C$90/12,27,$C$91,$C$89)))</f>
        <v>0</v>
      </c>
      <c r="F104" s="370" t="n">
        <f aca="false">IF($C$91&lt;28,0,ABS(PPMT($C$90/12,28,$C$91,$C$89)))</f>
        <v>0</v>
      </c>
      <c r="G104" s="370" t="n">
        <f aca="false">IF($C$91&lt;29,0,ABS(PPMT($C$90/12,29,$C$91,$C$89)))</f>
        <v>0</v>
      </c>
      <c r="H104" s="370" t="n">
        <f aca="false">IF($C$91&lt;30,0,ABS(PPMT($C$90/12,30,$C$91,$C$89)))</f>
        <v>0</v>
      </c>
      <c r="I104" s="370" t="n">
        <f aca="false">IF($C$91&lt;31,0,ABS(PPMT($C$90/12,31,$C$91,$C$89)))</f>
        <v>0</v>
      </c>
      <c r="J104" s="370" t="n">
        <f aca="false">IF($C$91&lt;32,0,ABS(PPMT($C$90/12,32,$C$91,$C$89)))</f>
        <v>0</v>
      </c>
      <c r="K104" s="370" t="n">
        <f aca="false">IF($C$91&lt;33,0,ABS(PPMT($C$90/12,33,$C$91,$C$89)))</f>
        <v>0</v>
      </c>
      <c r="L104" s="370" t="n">
        <f aca="false">IF($C$91&lt;34,0,ABS(PPMT($C$90/12,34,$C$91,$C$89)))</f>
        <v>0</v>
      </c>
      <c r="M104" s="370" t="n">
        <f aca="false">IF($C$91&lt;35,0,ABS(PPMT($C$90/12,35,$C$91,$C$89)))</f>
        <v>0</v>
      </c>
      <c r="N104" s="370" t="n">
        <f aca="false">IF($C$91&lt;36,0,ABS(PPMT($C$90/12,36,$C$91,$C$89)))</f>
        <v>0</v>
      </c>
      <c r="O104" s="497" t="n">
        <f aca="false">SUM(C104:N104)</f>
        <v>0</v>
      </c>
      <c r="P104" s="102"/>
      <c r="Q104" s="102"/>
    </row>
    <row r="105" customFormat="false" ht="13.8" hidden="false" customHeight="false" outlineLevel="0" collapsed="false">
      <c r="B105" s="455" t="s">
        <v>349</v>
      </c>
      <c r="C105" s="498" t="n">
        <f aca="false">N101-C104</f>
        <v>0</v>
      </c>
      <c r="D105" s="498" t="n">
        <f aca="false">C105-D104</f>
        <v>0</v>
      </c>
      <c r="E105" s="498" t="n">
        <f aca="false">D105-E104</f>
        <v>0</v>
      </c>
      <c r="F105" s="498" t="n">
        <f aca="false">E105-F104</f>
        <v>0</v>
      </c>
      <c r="G105" s="498" t="n">
        <f aca="false">F105-G104</f>
        <v>0</v>
      </c>
      <c r="H105" s="498" t="n">
        <f aca="false">G105-H104</f>
        <v>0</v>
      </c>
      <c r="I105" s="498" t="n">
        <f aca="false">H105-I104</f>
        <v>0</v>
      </c>
      <c r="J105" s="498" t="n">
        <f aca="false">I105-J104</f>
        <v>0</v>
      </c>
      <c r="K105" s="498" t="n">
        <f aca="false">J105-K104</f>
        <v>0</v>
      </c>
      <c r="L105" s="498" t="n">
        <f aca="false">K105-L104</f>
        <v>0</v>
      </c>
      <c r="M105" s="498" t="n">
        <f aca="false">L105-M104</f>
        <v>0</v>
      </c>
      <c r="N105" s="498" t="n">
        <f aca="false">M105-N104</f>
        <v>0</v>
      </c>
      <c r="O105" s="499"/>
      <c r="P105" s="102"/>
      <c r="Q105" s="102"/>
    </row>
    <row r="106" customFormat="false" ht="13.8" hidden="false" customHeight="false" outlineLevel="0" collapsed="false">
      <c r="B106" s="94"/>
      <c r="C106" s="94"/>
      <c r="D106" s="102"/>
      <c r="E106" s="102"/>
      <c r="F106" s="102"/>
      <c r="G106" s="102"/>
      <c r="H106" s="102"/>
      <c r="I106" s="102"/>
      <c r="J106" s="102"/>
      <c r="K106" s="102"/>
      <c r="L106" s="102"/>
      <c r="M106" s="102"/>
      <c r="N106" s="102"/>
      <c r="O106" s="102"/>
      <c r="P106" s="102"/>
      <c r="Q106" s="102"/>
    </row>
    <row r="107" customFormat="false" ht="13.8" hidden="false" customHeight="false" outlineLevel="0" collapsed="false">
      <c r="B107" s="102"/>
      <c r="C107" s="102"/>
      <c r="D107" s="102"/>
      <c r="E107" s="102"/>
      <c r="F107" s="102"/>
      <c r="G107" s="102"/>
      <c r="H107" s="102"/>
      <c r="I107" s="102"/>
      <c r="J107" s="102"/>
      <c r="K107" s="102"/>
      <c r="L107" s="102"/>
      <c r="M107" s="102"/>
      <c r="N107" s="102"/>
      <c r="O107" s="102"/>
      <c r="P107" s="102"/>
      <c r="Q107" s="102"/>
    </row>
    <row r="108" customFormat="false" ht="14.4" hidden="false" customHeight="true" outlineLevel="0" collapsed="false">
      <c r="B108" s="104" t="s">
        <v>204</v>
      </c>
      <c r="C108" s="104"/>
      <c r="D108" s="102"/>
      <c r="E108" s="102"/>
      <c r="F108" s="102"/>
      <c r="G108" s="102"/>
      <c r="H108" s="102"/>
      <c r="I108" s="102"/>
      <c r="J108" s="102"/>
      <c r="K108" s="102"/>
      <c r="L108" s="102"/>
      <c r="M108" s="102"/>
      <c r="N108" s="102"/>
      <c r="O108" s="102"/>
      <c r="P108" s="103"/>
      <c r="Q108" s="103"/>
    </row>
    <row r="109" customFormat="false" ht="14.4" hidden="false" customHeight="false" outlineLevel="0" collapsed="false">
      <c r="B109" s="507" t="str">
        <f aca="false">'1-StartingPoint'!B10</f>
        <v>Real Estate-Buildings</v>
      </c>
      <c r="C109" s="147" t="n">
        <f aca="false">'1-StartingPoint'!D10</f>
        <v>20</v>
      </c>
      <c r="D109" s="102"/>
      <c r="E109" s="102"/>
      <c r="F109" s="102"/>
      <c r="G109" s="102"/>
      <c r="H109" s="102"/>
      <c r="I109" s="102"/>
      <c r="J109" s="102"/>
      <c r="K109" s="102"/>
      <c r="L109" s="102"/>
      <c r="M109" s="102"/>
      <c r="N109" s="102"/>
      <c r="O109" s="102"/>
      <c r="P109" s="103"/>
      <c r="Q109" s="103"/>
    </row>
    <row r="110" customFormat="false" ht="13.8" hidden="false" customHeight="false" outlineLevel="0" collapsed="false">
      <c r="B110" s="345" t="str">
        <f aca="false">'1-StartingPoint'!B11</f>
        <v>Leasehold Improvements</v>
      </c>
      <c r="C110" s="151" t="n">
        <f aca="false">'1-StartingPoint'!D11</f>
        <v>7</v>
      </c>
      <c r="D110" s="102"/>
      <c r="E110" s="102"/>
      <c r="F110" s="102"/>
      <c r="G110" s="102"/>
      <c r="H110" s="102"/>
      <c r="I110" s="102"/>
      <c r="J110" s="102"/>
      <c r="K110" s="102"/>
      <c r="L110" s="102"/>
      <c r="M110" s="102"/>
      <c r="N110" s="102"/>
      <c r="O110" s="102"/>
      <c r="P110" s="103"/>
      <c r="Q110" s="103"/>
    </row>
    <row r="111" customFormat="false" ht="13.8" hidden="false" customHeight="false" outlineLevel="0" collapsed="false">
      <c r="B111" s="345" t="str">
        <f aca="false">'1-StartingPoint'!B12</f>
        <v>Equipment</v>
      </c>
      <c r="C111" s="151" t="n">
        <f aca="false">'1-StartingPoint'!D12</f>
        <v>7</v>
      </c>
      <c r="D111" s="102"/>
      <c r="E111" s="102"/>
      <c r="F111" s="102"/>
      <c r="G111" s="102"/>
      <c r="H111" s="102"/>
      <c r="I111" s="102"/>
      <c r="J111" s="102"/>
      <c r="K111" s="102"/>
      <c r="L111" s="102"/>
      <c r="M111" s="102"/>
      <c r="N111" s="102"/>
      <c r="O111" s="102"/>
      <c r="P111" s="103"/>
      <c r="Q111" s="103"/>
    </row>
    <row r="112" customFormat="false" ht="13.8" hidden="false" customHeight="false" outlineLevel="0" collapsed="false">
      <c r="B112" s="345" t="str">
        <f aca="false">'1-StartingPoint'!B13</f>
        <v>Furniture and Fixtures</v>
      </c>
      <c r="C112" s="151" t="n">
        <f aca="false">'1-StartingPoint'!D13</f>
        <v>5</v>
      </c>
      <c r="D112" s="102"/>
      <c r="E112" s="102"/>
      <c r="F112" s="102"/>
      <c r="G112" s="102"/>
      <c r="H112" s="102"/>
      <c r="I112" s="102"/>
      <c r="J112" s="102"/>
      <c r="K112" s="102"/>
      <c r="L112" s="102"/>
      <c r="M112" s="102"/>
      <c r="N112" s="102"/>
      <c r="O112" s="102"/>
      <c r="P112" s="103"/>
      <c r="Q112" s="103"/>
    </row>
    <row r="113" customFormat="false" ht="13.8" hidden="false" customHeight="false" outlineLevel="0" collapsed="false">
      <c r="B113" s="345" t="str">
        <f aca="false">'1-StartingPoint'!B14</f>
        <v>Vehicles</v>
      </c>
      <c r="C113" s="151" t="n">
        <f aca="false">'1-StartingPoint'!D14</f>
        <v>5</v>
      </c>
      <c r="D113" s="102"/>
      <c r="E113" s="102"/>
      <c r="F113" s="102"/>
      <c r="G113" s="102"/>
      <c r="H113" s="102"/>
      <c r="I113" s="102"/>
      <c r="J113" s="102"/>
      <c r="K113" s="102"/>
      <c r="L113" s="102"/>
      <c r="M113" s="102"/>
      <c r="N113" s="102"/>
      <c r="O113" s="102"/>
      <c r="P113" s="103"/>
      <c r="Q113" s="103"/>
    </row>
    <row r="114" customFormat="false" ht="13.8" hidden="false" customHeight="false" outlineLevel="0" collapsed="false">
      <c r="B114" s="345" t="str">
        <f aca="false">'1-StartingPoint'!B15</f>
        <v>Other</v>
      </c>
      <c r="C114" s="151" t="n">
        <f aca="false">'1-StartingPoint'!D15</f>
        <v>5</v>
      </c>
      <c r="D114" s="102"/>
      <c r="E114" s="102"/>
      <c r="F114" s="102"/>
      <c r="G114" s="102"/>
      <c r="H114" s="102"/>
      <c r="I114" s="102"/>
      <c r="J114" s="102"/>
      <c r="K114" s="102"/>
      <c r="L114" s="102"/>
      <c r="M114" s="102"/>
      <c r="N114" s="102"/>
      <c r="O114" s="102"/>
      <c r="P114" s="102"/>
      <c r="Q114" s="102"/>
    </row>
    <row r="115" customFormat="false" ht="13.8" hidden="false" customHeight="false" outlineLevel="0" collapsed="false">
      <c r="B115" s="120"/>
      <c r="C115" s="496" t="str">
        <f aca="false">'3a-SalesForecastYear1'!$C$16</f>
        <v>Month 1</v>
      </c>
      <c r="D115" s="496" t="str">
        <f aca="false">'3a-SalesForecastYear1'!$D$16</f>
        <v>Month 2</v>
      </c>
      <c r="E115" s="496" t="str">
        <f aca="false">'3a-SalesForecastYear1'!$E$16</f>
        <v>Month 3</v>
      </c>
      <c r="F115" s="496" t="str">
        <f aca="false">'3a-SalesForecastYear1'!$F$16</f>
        <v>Month 4</v>
      </c>
      <c r="G115" s="496" t="str">
        <f aca="false">'3a-SalesForecastYear1'!$G$16</f>
        <v>Month 5</v>
      </c>
      <c r="H115" s="496" t="str">
        <f aca="false">'3a-SalesForecastYear1'!$H$16</f>
        <v>Month 6</v>
      </c>
      <c r="I115" s="496" t="str">
        <f aca="false">'3a-SalesForecastYear1'!$I$16</f>
        <v>Month 7</v>
      </c>
      <c r="J115" s="496" t="str">
        <f aca="false">'3a-SalesForecastYear1'!$J$16</f>
        <v>Month 8</v>
      </c>
      <c r="K115" s="496" t="str">
        <f aca="false">'3a-SalesForecastYear1'!$K$16</f>
        <v>Month 9</v>
      </c>
      <c r="L115" s="496" t="str">
        <f aca="false">'3a-SalesForecastYear1'!$L$16</f>
        <v>Month 10</v>
      </c>
      <c r="M115" s="496" t="str">
        <f aca="false">'3a-SalesForecastYear1'!$M$16</f>
        <v>Month 11</v>
      </c>
      <c r="N115" s="496" t="str">
        <f aca="false">'3a-SalesForecastYear1'!$N$16</f>
        <v>Month 12</v>
      </c>
      <c r="O115" s="496" t="s">
        <v>39</v>
      </c>
      <c r="P115" s="102"/>
      <c r="Q115" s="102"/>
    </row>
    <row r="116" customFormat="false" ht="13.8" hidden="false" customHeight="false" outlineLevel="0" collapsed="false">
      <c r="B116" s="120" t="s">
        <v>269</v>
      </c>
      <c r="C116" s="508"/>
      <c r="D116" s="508"/>
      <c r="E116" s="508"/>
      <c r="F116" s="508"/>
      <c r="G116" s="508"/>
      <c r="H116" s="508"/>
      <c r="I116" s="508"/>
      <c r="J116" s="508"/>
      <c r="K116" s="508"/>
      <c r="L116" s="508"/>
      <c r="M116" s="508"/>
      <c r="N116" s="508"/>
      <c r="O116" s="508"/>
      <c r="P116" s="102"/>
      <c r="Q116" s="102"/>
    </row>
    <row r="117" customFormat="false" ht="13.8" hidden="false" customHeight="false" outlineLevel="0" collapsed="false">
      <c r="B117" s="455" t="s">
        <v>350</v>
      </c>
      <c r="C117" s="370" t="n">
        <f aca="false">(Buildings/'1-StartingPoint'!$D$10/12)+(LeaseImprovements/'1-StartingPoint'!$D$11/12)+(Equipment/'1-StartingPoint'!$D$12/12)+(Furniture/'1-StartingPoint'!$D$13/12)+(Vehicles/'1-StartingPoint'!$D$14/12)+(OtherFixedAssets/'1-StartingPoint'!$D$15/12)</f>
        <v>0</v>
      </c>
      <c r="D117" s="370" t="n">
        <f aca="false">C119</f>
        <v>0</v>
      </c>
      <c r="E117" s="370" t="n">
        <f aca="false">D119</f>
        <v>0</v>
      </c>
      <c r="F117" s="370" t="n">
        <f aca="false">E119</f>
        <v>0</v>
      </c>
      <c r="G117" s="370" t="n">
        <f aca="false">F119</f>
        <v>0</v>
      </c>
      <c r="H117" s="370" t="n">
        <f aca="false">G119</f>
        <v>0</v>
      </c>
      <c r="I117" s="370" t="n">
        <f aca="false">H119</f>
        <v>0</v>
      </c>
      <c r="J117" s="370" t="n">
        <f aca="false">I119</f>
        <v>0</v>
      </c>
      <c r="K117" s="370" t="n">
        <f aca="false">J119</f>
        <v>0</v>
      </c>
      <c r="L117" s="370" t="n">
        <f aca="false">K119</f>
        <v>0</v>
      </c>
      <c r="M117" s="370" t="n">
        <f aca="false">L119</f>
        <v>0</v>
      </c>
      <c r="N117" s="370" t="n">
        <f aca="false">M119</f>
        <v>0</v>
      </c>
      <c r="O117" s="497" t="n">
        <f aca="false">SUM(C117:N117)</f>
        <v>0</v>
      </c>
      <c r="P117" s="102"/>
      <c r="Q117" s="102"/>
    </row>
    <row r="118" customFormat="false" ht="13.8" hidden="false" customHeight="false" outlineLevel="0" collapsed="false">
      <c r="B118" s="455" t="s">
        <v>351</v>
      </c>
      <c r="C118" s="370" t="n">
        <v>0</v>
      </c>
      <c r="D118" s="370" t="n">
        <f aca="false">('4-AdditionalInputs'!E29/'4-AdditionalInputs'!$C$29/12)+('4-AdditionalInputs'!E30/'4-AdditionalInputs'!$C$30/12)+('4-AdditionalInputs'!E31/'4-AdditionalInputs'!$C$31/12)+('4-AdditionalInputs'!E32/'4-AdditionalInputs'!$C$32/12)+('4-AdditionalInputs'!E33/'4-AdditionalInputs'!$C$33/12)+('4-AdditionalInputs'!E34/'4-AdditionalInputs'!$C$34/12)</f>
        <v>0</v>
      </c>
      <c r="E118" s="370" t="n">
        <f aca="false">('4-AdditionalInputs'!F29/'4-AdditionalInputs'!$C$29/12)+('4-AdditionalInputs'!F30/'4-AdditionalInputs'!$C$30/12)+('4-AdditionalInputs'!F31/'4-AdditionalInputs'!$C$31/12)+('4-AdditionalInputs'!F32/'4-AdditionalInputs'!$C$32/12)+('4-AdditionalInputs'!F33/'4-AdditionalInputs'!$C$33/12)+('4-AdditionalInputs'!F34/'4-AdditionalInputs'!$C$34/12)</f>
        <v>0</v>
      </c>
      <c r="F118" s="370" t="n">
        <f aca="false">('4-AdditionalInputs'!G29/'4-AdditionalInputs'!$C$29/12)+('4-AdditionalInputs'!G30/'4-AdditionalInputs'!$C$30/12)+('4-AdditionalInputs'!G31/'4-AdditionalInputs'!$C$31/12)+('4-AdditionalInputs'!G32/'4-AdditionalInputs'!$C$32/12)+('4-AdditionalInputs'!G33/'4-AdditionalInputs'!$C$33/12)+('4-AdditionalInputs'!G34/'4-AdditionalInputs'!$C$34/12)</f>
        <v>0</v>
      </c>
      <c r="G118" s="370" t="n">
        <f aca="false">('4-AdditionalInputs'!H29/'4-AdditionalInputs'!$C$29/12)+('4-AdditionalInputs'!H30/'4-AdditionalInputs'!$C$30/12)+('4-AdditionalInputs'!H31/'4-AdditionalInputs'!$C$31/12)+('4-AdditionalInputs'!H32/'4-AdditionalInputs'!$C$32/12)+('4-AdditionalInputs'!H33/'4-AdditionalInputs'!$C$33/12)+('4-AdditionalInputs'!H34/'4-AdditionalInputs'!$C$34/12)</f>
        <v>0</v>
      </c>
      <c r="H118" s="370" t="n">
        <f aca="false">('4-AdditionalInputs'!I29/'4-AdditionalInputs'!$C$29/12)+('4-AdditionalInputs'!I30/'4-AdditionalInputs'!$C$30/12)+('4-AdditionalInputs'!I31/'4-AdditionalInputs'!$C$31/12)+('4-AdditionalInputs'!I32/'4-AdditionalInputs'!$C$32/12)+('4-AdditionalInputs'!I33/'4-AdditionalInputs'!$C$33/12)+('4-AdditionalInputs'!I34/'4-AdditionalInputs'!$C$34/12)</f>
        <v>0</v>
      </c>
      <c r="I118" s="370" t="n">
        <f aca="false">('4-AdditionalInputs'!J29/'4-AdditionalInputs'!$C$29/12)+('4-AdditionalInputs'!J30/'4-AdditionalInputs'!$C$30/12)+('4-AdditionalInputs'!J31/'4-AdditionalInputs'!$C$31/12)+('4-AdditionalInputs'!J32/'4-AdditionalInputs'!$C$32/12)+('4-AdditionalInputs'!J33/'4-AdditionalInputs'!$C$33/12)+('4-AdditionalInputs'!J34/'4-AdditionalInputs'!$C$34/12)</f>
        <v>0</v>
      </c>
      <c r="J118" s="370" t="n">
        <f aca="false">('4-AdditionalInputs'!K29/'4-AdditionalInputs'!$C$29/12)+('4-AdditionalInputs'!K30/'4-AdditionalInputs'!$C$30/12)+('4-AdditionalInputs'!K31/'4-AdditionalInputs'!$C$31/12)+('4-AdditionalInputs'!K32/'4-AdditionalInputs'!$C$32/12)+('4-AdditionalInputs'!K33/'4-AdditionalInputs'!$C$33/12)+('4-AdditionalInputs'!K34/'4-AdditionalInputs'!$C$34/12)</f>
        <v>0</v>
      </c>
      <c r="K118" s="370" t="n">
        <f aca="false">('4-AdditionalInputs'!L29/'4-AdditionalInputs'!$C$29/12)+('4-AdditionalInputs'!L30/'4-AdditionalInputs'!$C$30/12)+('4-AdditionalInputs'!L31/'4-AdditionalInputs'!$C$31/12)+('4-AdditionalInputs'!L32/'4-AdditionalInputs'!$C$32/12)+('4-AdditionalInputs'!L33/'4-AdditionalInputs'!$C$33/12)+('4-AdditionalInputs'!L34/'4-AdditionalInputs'!$C$34/12)</f>
        <v>0</v>
      </c>
      <c r="L118" s="370" t="n">
        <f aca="false">('4-AdditionalInputs'!M29/'4-AdditionalInputs'!$C$29/12)+('4-AdditionalInputs'!M30/'4-AdditionalInputs'!$C$30/12)+('4-AdditionalInputs'!M31/'4-AdditionalInputs'!$C$31/12)+('4-AdditionalInputs'!M32/'4-AdditionalInputs'!$C$32/12)+('4-AdditionalInputs'!M33/'4-AdditionalInputs'!$C$33/12)+('4-AdditionalInputs'!M34/'4-AdditionalInputs'!$C$34/12)</f>
        <v>0</v>
      </c>
      <c r="M118" s="370" t="n">
        <f aca="false">('4-AdditionalInputs'!N29/'4-AdditionalInputs'!$C$29/12)+('4-AdditionalInputs'!N30/'4-AdditionalInputs'!$C$30/12)+('4-AdditionalInputs'!N31/'4-AdditionalInputs'!$C$31/12)+('4-AdditionalInputs'!N32/'4-AdditionalInputs'!$C$32/12)+('4-AdditionalInputs'!N33/'4-AdditionalInputs'!$C$33/12)+('4-AdditionalInputs'!N34/'4-AdditionalInputs'!$C$34/12)</f>
        <v>0</v>
      </c>
      <c r="N118" s="370" t="n">
        <f aca="false">('4-AdditionalInputs'!O29/'4-AdditionalInputs'!$C$29/12)+('4-AdditionalInputs'!O30/'4-AdditionalInputs'!$C$30/12)+('4-AdditionalInputs'!O31/'4-AdditionalInputs'!$C$31/12)+('4-AdditionalInputs'!O32/'4-AdditionalInputs'!$C$32/12)+('4-AdditionalInputs'!O33/'4-AdditionalInputs'!$C$33/12)+('4-AdditionalInputs'!O34/'4-AdditionalInputs'!$C$34/12)</f>
        <v>0</v>
      </c>
      <c r="O118" s="370"/>
      <c r="P118" s="102"/>
      <c r="Q118" s="102"/>
    </row>
    <row r="119" customFormat="false" ht="13.8" hidden="false" customHeight="false" outlineLevel="0" collapsed="false">
      <c r="B119" s="455" t="s">
        <v>352</v>
      </c>
      <c r="C119" s="498" t="n">
        <f aca="false">SUM(C117:C118)</f>
        <v>0</v>
      </c>
      <c r="D119" s="498" t="n">
        <f aca="false">SUM(D117:D118)</f>
        <v>0</v>
      </c>
      <c r="E119" s="498" t="n">
        <f aca="false">SUM(E117:E118)</f>
        <v>0</v>
      </c>
      <c r="F119" s="498" t="n">
        <f aca="false">SUM(F117:F118)</f>
        <v>0</v>
      </c>
      <c r="G119" s="498" t="n">
        <f aca="false">SUM(G117:G118)</f>
        <v>0</v>
      </c>
      <c r="H119" s="498" t="n">
        <f aca="false">SUM(H117:H118)</f>
        <v>0</v>
      </c>
      <c r="I119" s="498" t="n">
        <f aca="false">SUM(I117:I118)</f>
        <v>0</v>
      </c>
      <c r="J119" s="498" t="n">
        <f aca="false">SUM(J117:J118)</f>
        <v>0</v>
      </c>
      <c r="K119" s="498" t="n">
        <f aca="false">SUM(K117:K118)</f>
        <v>0</v>
      </c>
      <c r="L119" s="498" t="n">
        <f aca="false">SUM(L117:L118)</f>
        <v>0</v>
      </c>
      <c r="M119" s="498" t="n">
        <f aca="false">SUM(M117:M118)</f>
        <v>0</v>
      </c>
      <c r="N119" s="498" t="n">
        <f aca="false">SUM(N117:N118)</f>
        <v>0</v>
      </c>
      <c r="O119" s="497" t="n">
        <f aca="false">SUM(C119:N119)</f>
        <v>0</v>
      </c>
      <c r="P119" s="102"/>
      <c r="Q119" s="102"/>
    </row>
    <row r="120" customFormat="false" ht="13.8" hidden="false" customHeight="false" outlineLevel="0" collapsed="false">
      <c r="B120" s="120" t="s">
        <v>270</v>
      </c>
      <c r="C120" s="508"/>
      <c r="D120" s="508"/>
      <c r="E120" s="508"/>
      <c r="F120" s="508"/>
      <c r="G120" s="508"/>
      <c r="H120" s="508"/>
      <c r="I120" s="508"/>
      <c r="J120" s="508"/>
      <c r="K120" s="508"/>
      <c r="L120" s="508"/>
      <c r="M120" s="508"/>
      <c r="N120" s="508"/>
      <c r="O120" s="370"/>
      <c r="P120" s="102"/>
      <c r="Q120" s="102"/>
    </row>
    <row r="121" customFormat="false" ht="13.8" hidden="false" customHeight="false" outlineLevel="0" collapsed="false">
      <c r="B121" s="455" t="s">
        <v>350</v>
      </c>
      <c r="C121" s="370" t="n">
        <f aca="false">N119</f>
        <v>0</v>
      </c>
      <c r="D121" s="370" t="n">
        <f aca="false">C123</f>
        <v>0</v>
      </c>
      <c r="E121" s="370" t="n">
        <f aca="false">D123</f>
        <v>0</v>
      </c>
      <c r="F121" s="370" t="n">
        <f aca="false">E123</f>
        <v>0</v>
      </c>
      <c r="G121" s="370" t="n">
        <f aca="false">F123</f>
        <v>0</v>
      </c>
      <c r="H121" s="370" t="n">
        <f aca="false">G123</f>
        <v>0</v>
      </c>
      <c r="I121" s="370" t="n">
        <f aca="false">H123</f>
        <v>0</v>
      </c>
      <c r="J121" s="370" t="n">
        <f aca="false">I123</f>
        <v>0</v>
      </c>
      <c r="K121" s="370" t="n">
        <f aca="false">J123</f>
        <v>0</v>
      </c>
      <c r="L121" s="370" t="n">
        <f aca="false">K123</f>
        <v>0</v>
      </c>
      <c r="M121" s="370" t="n">
        <f aca="false">L123</f>
        <v>0</v>
      </c>
      <c r="N121" s="370" t="n">
        <f aca="false">M123</f>
        <v>0</v>
      </c>
      <c r="O121" s="497" t="n">
        <f aca="false">SUM(C121:N121)</f>
        <v>0</v>
      </c>
      <c r="P121" s="102"/>
      <c r="Q121" s="102"/>
    </row>
    <row r="122" customFormat="false" ht="13.8" hidden="false" customHeight="false" outlineLevel="0" collapsed="false">
      <c r="B122" s="455" t="s">
        <v>351</v>
      </c>
      <c r="C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370" t="n">
        <f aca="false">('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370"/>
      <c r="P122" s="102"/>
      <c r="Q122" s="102"/>
    </row>
    <row r="123" customFormat="false" ht="13.8" hidden="false" customHeight="false" outlineLevel="0" collapsed="false">
      <c r="B123" s="455" t="s">
        <v>352</v>
      </c>
      <c r="C123" s="498" t="n">
        <f aca="false">SUM(C121:C122)</f>
        <v>0</v>
      </c>
      <c r="D123" s="498" t="n">
        <f aca="false">SUM(D121:D122)</f>
        <v>0</v>
      </c>
      <c r="E123" s="498" t="n">
        <f aca="false">SUM(E121:E122)</f>
        <v>0</v>
      </c>
      <c r="F123" s="498" t="n">
        <f aca="false">SUM(F121:F122)</f>
        <v>0</v>
      </c>
      <c r="G123" s="498" t="n">
        <f aca="false">SUM(G121:G122)</f>
        <v>0</v>
      </c>
      <c r="H123" s="498" t="n">
        <f aca="false">SUM(H121:H122)</f>
        <v>0</v>
      </c>
      <c r="I123" s="498" t="n">
        <f aca="false">SUM(I121:I122)</f>
        <v>0</v>
      </c>
      <c r="J123" s="498" t="n">
        <f aca="false">SUM(J121:J122)</f>
        <v>0</v>
      </c>
      <c r="K123" s="498" t="n">
        <f aca="false">SUM(K121:K122)</f>
        <v>0</v>
      </c>
      <c r="L123" s="498" t="n">
        <f aca="false">SUM(L121:L122)</f>
        <v>0</v>
      </c>
      <c r="M123" s="498" t="n">
        <f aca="false">SUM(M121:M122)</f>
        <v>0</v>
      </c>
      <c r="N123" s="498" t="n">
        <f aca="false">SUM(N121:N122)</f>
        <v>0</v>
      </c>
      <c r="O123" s="497" t="n">
        <f aca="false">SUM(C123:N123)</f>
        <v>0</v>
      </c>
      <c r="P123" s="102"/>
      <c r="Q123" s="102"/>
    </row>
    <row r="124" customFormat="false" ht="13.8" hidden="false" customHeight="false" outlineLevel="0" collapsed="false">
      <c r="B124" s="120" t="s">
        <v>271</v>
      </c>
      <c r="C124" s="508"/>
      <c r="D124" s="508"/>
      <c r="E124" s="508"/>
      <c r="F124" s="508"/>
      <c r="G124" s="508"/>
      <c r="H124" s="508"/>
      <c r="I124" s="508"/>
      <c r="J124" s="508"/>
      <c r="K124" s="508"/>
      <c r="L124" s="508"/>
      <c r="M124" s="508"/>
      <c r="N124" s="508"/>
      <c r="O124" s="370"/>
      <c r="P124" s="102"/>
      <c r="Q124" s="102"/>
    </row>
    <row r="125" customFormat="false" ht="13.8" hidden="false" customHeight="false" outlineLevel="0" collapsed="false">
      <c r="B125" s="455" t="s">
        <v>350</v>
      </c>
      <c r="C125" s="370" t="n">
        <f aca="false">N123</f>
        <v>0</v>
      </c>
      <c r="D125" s="370" t="n">
        <f aca="false">C127</f>
        <v>0</v>
      </c>
      <c r="E125" s="370" t="n">
        <f aca="false">D127</f>
        <v>0</v>
      </c>
      <c r="F125" s="370" t="n">
        <f aca="false">E127</f>
        <v>0</v>
      </c>
      <c r="G125" s="370" t="n">
        <f aca="false">F127</f>
        <v>0</v>
      </c>
      <c r="H125" s="370" t="n">
        <f aca="false">G127</f>
        <v>0</v>
      </c>
      <c r="I125" s="370" t="n">
        <f aca="false">H127</f>
        <v>0</v>
      </c>
      <c r="J125" s="370" t="n">
        <f aca="false">I127</f>
        <v>0</v>
      </c>
      <c r="K125" s="370" t="n">
        <f aca="false">J127</f>
        <v>0</v>
      </c>
      <c r="L125" s="370" t="n">
        <f aca="false">K127</f>
        <v>0</v>
      </c>
      <c r="M125" s="370" t="n">
        <f aca="false">L127</f>
        <v>0</v>
      </c>
      <c r="N125" s="370" t="n">
        <f aca="false">M127</f>
        <v>0</v>
      </c>
      <c r="O125" s="497" t="n">
        <f aca="false">SUM(C125:N125)</f>
        <v>0</v>
      </c>
      <c r="P125" s="102"/>
      <c r="Q125" s="102"/>
    </row>
    <row r="126" customFormat="false" ht="13.8" hidden="false" customHeight="false" outlineLevel="0" collapsed="false">
      <c r="B126" s="455" t="s">
        <v>351</v>
      </c>
      <c r="C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370" t="n">
        <f aca="false">('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370"/>
      <c r="P126" s="102"/>
      <c r="Q126" s="102"/>
    </row>
    <row r="127" customFormat="false" ht="13.8" hidden="false" customHeight="false" outlineLevel="0" collapsed="false">
      <c r="B127" s="455" t="s">
        <v>353</v>
      </c>
      <c r="C127" s="498" t="n">
        <f aca="false">SUM(C125:C126)</f>
        <v>0</v>
      </c>
      <c r="D127" s="498" t="n">
        <f aca="false">SUM(D125:D126)</f>
        <v>0</v>
      </c>
      <c r="E127" s="498" t="n">
        <f aca="false">SUM(E125:E126)</f>
        <v>0</v>
      </c>
      <c r="F127" s="498" t="n">
        <f aca="false">SUM(F125:F126)</f>
        <v>0</v>
      </c>
      <c r="G127" s="498" t="n">
        <f aca="false">SUM(G125:G126)</f>
        <v>0</v>
      </c>
      <c r="H127" s="498" t="n">
        <f aca="false">SUM(H125:H126)</f>
        <v>0</v>
      </c>
      <c r="I127" s="498" t="n">
        <f aca="false">SUM(I125:I126)</f>
        <v>0</v>
      </c>
      <c r="J127" s="498" t="n">
        <f aca="false">SUM(J125:J126)</f>
        <v>0</v>
      </c>
      <c r="K127" s="498" t="n">
        <f aca="false">SUM(K125:K126)</f>
        <v>0</v>
      </c>
      <c r="L127" s="498" t="n">
        <f aca="false">SUM(L125:L126)</f>
        <v>0</v>
      </c>
      <c r="M127" s="498" t="n">
        <f aca="false">SUM(M125:M126)</f>
        <v>0</v>
      </c>
      <c r="N127" s="498" t="n">
        <f aca="false">SUM(N125:N126)</f>
        <v>0</v>
      </c>
      <c r="O127" s="497" t="n">
        <f aca="false">SUM(C127:N127)</f>
        <v>0</v>
      </c>
      <c r="P127" s="102"/>
      <c r="Q127" s="102"/>
    </row>
    <row r="128" customFormat="false" ht="13.8" hidden="false" customHeight="false" outlineLevel="0" collapsed="false">
      <c r="B128" s="102"/>
      <c r="C128" s="102"/>
      <c r="D128" s="102"/>
      <c r="E128" s="102"/>
      <c r="F128" s="102"/>
      <c r="G128" s="102"/>
      <c r="H128" s="102"/>
      <c r="I128" s="102"/>
      <c r="J128" s="102"/>
      <c r="K128" s="102"/>
      <c r="L128" s="102"/>
      <c r="M128" s="102"/>
      <c r="N128" s="102"/>
      <c r="O128" s="102"/>
      <c r="P128" s="102"/>
      <c r="Q128" s="102"/>
    </row>
    <row r="129" customFormat="false" ht="13.8" hidden="false" customHeight="false" outlineLevel="0" collapsed="false">
      <c r="B129" s="102"/>
      <c r="C129" s="102"/>
      <c r="D129" s="102"/>
      <c r="E129" s="102"/>
      <c r="F129" s="102"/>
      <c r="G129" s="102"/>
      <c r="H129" s="102"/>
      <c r="I129" s="102"/>
      <c r="J129" s="102"/>
      <c r="K129" s="102"/>
      <c r="L129" s="102"/>
      <c r="M129" s="102"/>
      <c r="N129" s="102"/>
      <c r="O129" s="102"/>
      <c r="P129" s="102"/>
      <c r="Q129" s="102"/>
    </row>
    <row r="130" customFormat="false" ht="13.8" hidden="false" customHeight="false" outlineLevel="0" collapsed="false">
      <c r="B130" s="102"/>
      <c r="C130" s="102"/>
      <c r="D130" s="102"/>
      <c r="E130" s="102"/>
      <c r="F130" s="102"/>
      <c r="G130" s="102"/>
      <c r="H130" s="102"/>
      <c r="I130" s="102"/>
      <c r="J130" s="102"/>
      <c r="K130" s="102"/>
      <c r="L130" s="102"/>
      <c r="M130" s="102"/>
      <c r="N130" s="102"/>
      <c r="O130" s="102"/>
      <c r="P130" s="102"/>
      <c r="Q130" s="102"/>
    </row>
    <row r="131" customFormat="false" ht="14.4" hidden="false" customHeight="false" outlineLevel="0" collapsed="false">
      <c r="B131" s="104" t="s">
        <v>140</v>
      </c>
      <c r="C131" s="104"/>
      <c r="D131" s="104" t="s">
        <v>354</v>
      </c>
      <c r="E131" s="102"/>
      <c r="F131" s="102"/>
      <c r="G131" s="102"/>
      <c r="H131" s="102"/>
      <c r="I131" s="102"/>
      <c r="J131" s="102"/>
      <c r="K131" s="102"/>
      <c r="L131" s="102"/>
      <c r="M131" s="102"/>
      <c r="N131" s="102"/>
      <c r="O131" s="102"/>
      <c r="P131" s="102"/>
      <c r="Q131" s="102"/>
    </row>
    <row r="132" customFormat="false" ht="14.4" hidden="false" customHeight="false" outlineLevel="0" collapsed="false">
      <c r="B132" s="106" t="s">
        <v>234</v>
      </c>
      <c r="C132" s="110" t="n">
        <f aca="false">TotalOperatingCapital-Working_Capital-Inventory-OtherStartUp</f>
        <v>0</v>
      </c>
      <c r="D132" s="106"/>
      <c r="E132" s="102"/>
      <c r="F132" s="102"/>
      <c r="G132" s="102"/>
      <c r="H132" s="102"/>
      <c r="I132" s="102"/>
      <c r="J132" s="102"/>
      <c r="K132" s="102"/>
      <c r="L132" s="102"/>
      <c r="M132" s="102"/>
      <c r="N132" s="102"/>
      <c r="O132" s="102"/>
      <c r="P132" s="102"/>
      <c r="Q132" s="102"/>
    </row>
    <row r="133" customFormat="false" ht="13.8" hidden="false" customHeight="false" outlineLevel="0" collapsed="false">
      <c r="B133" s="113" t="s">
        <v>355</v>
      </c>
      <c r="C133" s="117" t="n">
        <f aca="false">IF('4-AdditionalInputs'!C44=0,0,'Amortization&amp;Depreciation'!C132/'4-AdditionalInputs'!C44)</f>
        <v>0</v>
      </c>
      <c r="D133" s="509" t="n">
        <f aca="false">+C133/12</f>
        <v>0</v>
      </c>
      <c r="E133" s="102"/>
      <c r="F133" s="102"/>
      <c r="G133" s="102"/>
      <c r="H133" s="102"/>
      <c r="I133" s="102"/>
      <c r="J133" s="102"/>
      <c r="K133" s="102"/>
      <c r="L133" s="102"/>
      <c r="M133" s="102"/>
      <c r="N133" s="102"/>
      <c r="O133" s="102"/>
      <c r="P133" s="102"/>
      <c r="Q133" s="102"/>
    </row>
    <row r="134" customFormat="false" ht="13.8" hidden="false" customHeight="false" outlineLevel="0" collapsed="false">
      <c r="B134" s="113" t="s">
        <v>235</v>
      </c>
      <c r="C134" s="117" t="n">
        <f aca="false">+OtherStartUp</f>
        <v>0</v>
      </c>
      <c r="D134" s="113"/>
      <c r="E134" s="102"/>
      <c r="F134" s="102"/>
      <c r="G134" s="102"/>
      <c r="H134" s="102"/>
      <c r="I134" s="102"/>
      <c r="J134" s="102"/>
      <c r="K134" s="102"/>
      <c r="L134" s="102"/>
      <c r="M134" s="102"/>
      <c r="N134" s="102"/>
      <c r="O134" s="102"/>
      <c r="P134" s="102"/>
      <c r="Q134" s="102"/>
    </row>
    <row r="135" customFormat="false" ht="13.8" hidden="false" customHeight="false" outlineLevel="0" collapsed="false">
      <c r="B135" s="113" t="s">
        <v>355</v>
      </c>
      <c r="C135" s="117" t="n">
        <f aca="false">IF('4-AdditionalInputs'!C44=0,0,C134/'4-AdditionalInputs'!C44)</f>
        <v>0</v>
      </c>
      <c r="D135" s="509" t="n">
        <f aca="false">+C135/12</f>
        <v>0</v>
      </c>
      <c r="E135" s="102"/>
      <c r="F135" s="102"/>
      <c r="G135" s="102"/>
      <c r="H135" s="102"/>
      <c r="I135" s="102"/>
      <c r="J135" s="102"/>
      <c r="K135" s="102"/>
      <c r="L135" s="102"/>
      <c r="M135" s="102"/>
      <c r="N135" s="102"/>
      <c r="O135" s="102"/>
      <c r="P135" s="102"/>
      <c r="Q135" s="102"/>
    </row>
    <row r="136" customFormat="false" ht="13.8" hidden="false" customHeight="false" outlineLevel="0" collapsed="false">
      <c r="B136" s="120" t="s">
        <v>234</v>
      </c>
      <c r="C136" s="496" t="str">
        <f aca="false">'3a-SalesForecastYear1'!$C$16</f>
        <v>Month 1</v>
      </c>
      <c r="D136" s="496" t="str">
        <f aca="false">'3a-SalesForecastYear1'!$D$16</f>
        <v>Month 2</v>
      </c>
      <c r="E136" s="496" t="str">
        <f aca="false">'3a-SalesForecastYear1'!$E$16</f>
        <v>Month 3</v>
      </c>
      <c r="F136" s="496" t="str">
        <f aca="false">'3a-SalesForecastYear1'!$F$16</f>
        <v>Month 4</v>
      </c>
      <c r="G136" s="496" t="str">
        <f aca="false">'3a-SalesForecastYear1'!$G$16</f>
        <v>Month 5</v>
      </c>
      <c r="H136" s="496" t="str">
        <f aca="false">'3a-SalesForecastYear1'!$H$16</f>
        <v>Month 6</v>
      </c>
      <c r="I136" s="496" t="str">
        <f aca="false">'3a-SalesForecastYear1'!$I$16</f>
        <v>Month 7</v>
      </c>
      <c r="J136" s="496" t="str">
        <f aca="false">'3a-SalesForecastYear1'!$J$16</f>
        <v>Month 8</v>
      </c>
      <c r="K136" s="496" t="str">
        <f aca="false">'3a-SalesForecastYear1'!$K$16</f>
        <v>Month 9</v>
      </c>
      <c r="L136" s="496" t="str">
        <f aca="false">'3a-SalesForecastYear1'!$L$16</f>
        <v>Month 10</v>
      </c>
      <c r="M136" s="496" t="str">
        <f aca="false">'3a-SalesForecastYear1'!$M$16</f>
        <v>Month 11</v>
      </c>
      <c r="N136" s="496" t="str">
        <f aca="false">'3a-SalesForecastYear1'!$N$16</f>
        <v>Month 12</v>
      </c>
      <c r="O136" s="496" t="s">
        <v>39</v>
      </c>
      <c r="P136" s="102"/>
      <c r="Q136" s="102"/>
    </row>
    <row r="137" customFormat="false" ht="13.8" hidden="false" customHeight="false" outlineLevel="0" collapsed="false">
      <c r="B137" s="120" t="s">
        <v>269</v>
      </c>
      <c r="C137" s="508"/>
      <c r="D137" s="508"/>
      <c r="E137" s="508"/>
      <c r="F137" s="508"/>
      <c r="G137" s="508"/>
      <c r="H137" s="508"/>
      <c r="I137" s="508"/>
      <c r="J137" s="508"/>
      <c r="K137" s="508"/>
      <c r="L137" s="508"/>
      <c r="M137" s="508"/>
      <c r="N137" s="508"/>
      <c r="O137" s="508"/>
      <c r="P137" s="102"/>
      <c r="Q137" s="102"/>
    </row>
    <row r="138" customFormat="false" ht="13.8" hidden="false" customHeight="false" outlineLevel="0" collapsed="false">
      <c r="B138" s="455" t="s">
        <v>356</v>
      </c>
      <c r="C138" s="370" t="n">
        <f aca="false">+D133</f>
        <v>0</v>
      </c>
      <c r="D138" s="370" t="n">
        <f aca="false">IF(C139&lt;$C$132,$D$133,0)</f>
        <v>0</v>
      </c>
      <c r="E138" s="370" t="n">
        <f aca="false">IF(D139&lt;$C$132,$D$133,0)</f>
        <v>0</v>
      </c>
      <c r="F138" s="370" t="n">
        <f aca="false">IF(E139&lt;$C$132,$D$133,0)</f>
        <v>0</v>
      </c>
      <c r="G138" s="370" t="n">
        <f aca="false">IF(F139&lt;$C$132,$D$133,0)</f>
        <v>0</v>
      </c>
      <c r="H138" s="370" t="n">
        <f aca="false">IF(G139&lt;$C$132,$D$133,0)</f>
        <v>0</v>
      </c>
      <c r="I138" s="370" t="n">
        <f aca="false">IF(H139&lt;$C$132,$D$133,0)</f>
        <v>0</v>
      </c>
      <c r="J138" s="370" t="n">
        <f aca="false">IF(I139&lt;$C$132,$D$133,0)</f>
        <v>0</v>
      </c>
      <c r="K138" s="370" t="n">
        <f aca="false">IF(J139&lt;$C$132,$D$133,0)</f>
        <v>0</v>
      </c>
      <c r="L138" s="370" t="n">
        <f aca="false">IF(K139&lt;$C$132,$D$133,0)</f>
        <v>0</v>
      </c>
      <c r="M138" s="370" t="n">
        <f aca="false">IF(L139&lt;$C$132,$D$133,0)</f>
        <v>0</v>
      </c>
      <c r="N138" s="370" t="n">
        <f aca="false">IF(M139&lt;$C$132,$D$133,0)</f>
        <v>0</v>
      </c>
      <c r="O138" s="497" t="n">
        <f aca="false">SUM(C138:N138)</f>
        <v>0</v>
      </c>
      <c r="P138" s="102"/>
      <c r="Q138" s="102"/>
    </row>
    <row r="139" customFormat="false" ht="13.8" hidden="false" customHeight="false" outlineLevel="0" collapsed="false">
      <c r="B139" s="455" t="s">
        <v>357</v>
      </c>
      <c r="C139" s="498" t="n">
        <f aca="false">+C138</f>
        <v>0</v>
      </c>
      <c r="D139" s="498" t="n">
        <f aca="false">+D138+C139</f>
        <v>0</v>
      </c>
      <c r="E139" s="498" t="n">
        <f aca="false">+E138+D139</f>
        <v>0</v>
      </c>
      <c r="F139" s="498" t="n">
        <f aca="false">+F138+E139</f>
        <v>0</v>
      </c>
      <c r="G139" s="498" t="n">
        <f aca="false">+G138+F139</f>
        <v>0</v>
      </c>
      <c r="H139" s="498" t="n">
        <f aca="false">+H138+G139</f>
        <v>0</v>
      </c>
      <c r="I139" s="498" t="n">
        <f aca="false">+I138+H139</f>
        <v>0</v>
      </c>
      <c r="J139" s="498" t="n">
        <f aca="false">+J138+I139</f>
        <v>0</v>
      </c>
      <c r="K139" s="498" t="n">
        <f aca="false">+K138+J139</f>
        <v>0</v>
      </c>
      <c r="L139" s="498" t="n">
        <f aca="false">+L138+K139</f>
        <v>0</v>
      </c>
      <c r="M139" s="498" t="n">
        <f aca="false">+M138+L139</f>
        <v>0</v>
      </c>
      <c r="N139" s="498" t="n">
        <f aca="false">+N138+M139</f>
        <v>0</v>
      </c>
      <c r="O139" s="370"/>
      <c r="P139" s="102"/>
      <c r="Q139" s="102"/>
    </row>
    <row r="140" customFormat="false" ht="13.8" hidden="false" customHeight="false" outlineLevel="0" collapsed="false">
      <c r="B140" s="120" t="s">
        <v>270</v>
      </c>
      <c r="C140" s="508"/>
      <c r="D140" s="508"/>
      <c r="E140" s="508"/>
      <c r="F140" s="508"/>
      <c r="G140" s="508"/>
      <c r="H140" s="508"/>
      <c r="I140" s="508"/>
      <c r="J140" s="508"/>
      <c r="K140" s="508"/>
      <c r="L140" s="508"/>
      <c r="M140" s="508"/>
      <c r="N140" s="508"/>
      <c r="O140" s="370"/>
      <c r="P140" s="102"/>
      <c r="Q140" s="102"/>
    </row>
    <row r="141" customFormat="false" ht="13.8" hidden="false" customHeight="false" outlineLevel="0" collapsed="false">
      <c r="B141" s="455" t="s">
        <v>356</v>
      </c>
      <c r="C141" s="370" t="n">
        <f aca="false">IF(N139&lt;$C$132,$D$133,0)</f>
        <v>0</v>
      </c>
      <c r="D141" s="370" t="n">
        <f aca="false">IF(C142&lt;$C$132,$D$133,0)</f>
        <v>0</v>
      </c>
      <c r="E141" s="370" t="n">
        <f aca="false">IF(D142&lt;$C$132,$D$133,0)</f>
        <v>0</v>
      </c>
      <c r="F141" s="370" t="n">
        <f aca="false">IF(E142&lt;$C$132,$D$133,0)</f>
        <v>0</v>
      </c>
      <c r="G141" s="370" t="n">
        <f aca="false">IF(F142&lt;$C$132,$D$133,0)</f>
        <v>0</v>
      </c>
      <c r="H141" s="370" t="n">
        <f aca="false">IF(G142&lt;$C$132,$D$133,0)</f>
        <v>0</v>
      </c>
      <c r="I141" s="370" t="n">
        <f aca="false">IF(H142&lt;$C$132,$D$133,0)</f>
        <v>0</v>
      </c>
      <c r="J141" s="370" t="n">
        <f aca="false">IF(I142&lt;$C$132,$D$133,0)</f>
        <v>0</v>
      </c>
      <c r="K141" s="370" t="n">
        <f aca="false">IF(J142&lt;$C$132,$D$133,0)</f>
        <v>0</v>
      </c>
      <c r="L141" s="370" t="n">
        <f aca="false">IF(K142&lt;$C$132,$D$133,0)</f>
        <v>0</v>
      </c>
      <c r="M141" s="370" t="n">
        <f aca="false">IF(L142&lt;$C$132,$D$133,0)</f>
        <v>0</v>
      </c>
      <c r="N141" s="370" t="n">
        <f aca="false">IF(M142&lt;$C$132,$D$133,0)</f>
        <v>0</v>
      </c>
      <c r="O141" s="497" t="n">
        <f aca="false">SUM(C141:N141)</f>
        <v>0</v>
      </c>
      <c r="P141" s="102"/>
      <c r="Q141" s="102"/>
    </row>
    <row r="142" customFormat="false" ht="13.8" hidden="false" customHeight="false" outlineLevel="0" collapsed="false">
      <c r="B142" s="455" t="s">
        <v>357</v>
      </c>
      <c r="C142" s="498" t="n">
        <f aca="false">+C141+N139</f>
        <v>0</v>
      </c>
      <c r="D142" s="498" t="n">
        <f aca="false">+D141+C142</f>
        <v>0</v>
      </c>
      <c r="E142" s="498" t="n">
        <f aca="false">+E141+D142</f>
        <v>0</v>
      </c>
      <c r="F142" s="498" t="n">
        <f aca="false">+F141+E142</f>
        <v>0</v>
      </c>
      <c r="G142" s="498" t="n">
        <f aca="false">+G141+F142</f>
        <v>0</v>
      </c>
      <c r="H142" s="498" t="n">
        <f aca="false">+H141+G142</f>
        <v>0</v>
      </c>
      <c r="I142" s="498" t="n">
        <f aca="false">+I141+H142</f>
        <v>0</v>
      </c>
      <c r="J142" s="498" t="n">
        <f aca="false">+J141+I142</f>
        <v>0</v>
      </c>
      <c r="K142" s="498" t="n">
        <f aca="false">+K141+J142</f>
        <v>0</v>
      </c>
      <c r="L142" s="498" t="n">
        <f aca="false">+L141+K142</f>
        <v>0</v>
      </c>
      <c r="M142" s="498" t="n">
        <f aca="false">+M141+L142</f>
        <v>0</v>
      </c>
      <c r="N142" s="498" t="n">
        <f aca="false">+N141+M142</f>
        <v>0</v>
      </c>
      <c r="O142" s="370"/>
      <c r="P142" s="102"/>
      <c r="Q142" s="102"/>
    </row>
    <row r="143" customFormat="false" ht="13.8" hidden="false" customHeight="false" outlineLevel="0" collapsed="false">
      <c r="B143" s="120" t="s">
        <v>271</v>
      </c>
      <c r="C143" s="508"/>
      <c r="D143" s="508"/>
      <c r="E143" s="508"/>
      <c r="F143" s="508"/>
      <c r="G143" s="508"/>
      <c r="H143" s="508"/>
      <c r="I143" s="508"/>
      <c r="J143" s="508"/>
      <c r="K143" s="508"/>
      <c r="L143" s="508"/>
      <c r="M143" s="508"/>
      <c r="N143" s="508"/>
      <c r="O143" s="370"/>
      <c r="P143" s="102"/>
      <c r="Q143" s="102"/>
    </row>
    <row r="144" customFormat="false" ht="13.8" hidden="false" customHeight="false" outlineLevel="0" collapsed="false">
      <c r="B144" s="455" t="s">
        <v>356</v>
      </c>
      <c r="C144" s="370" t="n">
        <f aca="false">IF(N142&lt;$C$132,$D$133,0)</f>
        <v>0</v>
      </c>
      <c r="D144" s="370" t="n">
        <f aca="false">IF(C145&lt;$C$132,$D$133,0)</f>
        <v>0</v>
      </c>
      <c r="E144" s="370" t="n">
        <f aca="false">IF(D145&lt;$C$132,$D$133,0)</f>
        <v>0</v>
      </c>
      <c r="F144" s="370" t="n">
        <f aca="false">IF(E145&lt;$C$132,$D$133,0)</f>
        <v>0</v>
      </c>
      <c r="G144" s="370" t="n">
        <f aca="false">IF(F145&lt;$C$132,$D$133,0)</f>
        <v>0</v>
      </c>
      <c r="H144" s="370" t="n">
        <f aca="false">IF(G145&lt;$C$132,$D$133,0)</f>
        <v>0</v>
      </c>
      <c r="I144" s="370" t="n">
        <f aca="false">IF(H145&lt;$C$132,$D$133,0)</f>
        <v>0</v>
      </c>
      <c r="J144" s="370" t="n">
        <f aca="false">IF(I145&lt;$C$132,$D$133,0)</f>
        <v>0</v>
      </c>
      <c r="K144" s="370" t="n">
        <f aca="false">IF(J145&lt;$C$132,$D$133,0)</f>
        <v>0</v>
      </c>
      <c r="L144" s="370" t="n">
        <f aca="false">IF(K145&lt;$C$132,$D$133,0)</f>
        <v>0</v>
      </c>
      <c r="M144" s="370" t="n">
        <f aca="false">IF(L145&lt;$C$132,$D$133,0)</f>
        <v>0</v>
      </c>
      <c r="N144" s="370" t="n">
        <f aca="false">IF(M145&lt;$C$132,$D$133,0)</f>
        <v>0</v>
      </c>
      <c r="O144" s="497" t="n">
        <f aca="false">SUM(C144:N144)</f>
        <v>0</v>
      </c>
      <c r="P144" s="102"/>
      <c r="Q144" s="102"/>
    </row>
    <row r="145" customFormat="false" ht="13.8" hidden="false" customHeight="false" outlineLevel="0" collapsed="false">
      <c r="B145" s="455" t="s">
        <v>357</v>
      </c>
      <c r="C145" s="498" t="n">
        <f aca="false">+C144+N142</f>
        <v>0</v>
      </c>
      <c r="D145" s="498" t="n">
        <f aca="false">+D144+C145</f>
        <v>0</v>
      </c>
      <c r="E145" s="498" t="n">
        <f aca="false">+E144+D145</f>
        <v>0</v>
      </c>
      <c r="F145" s="498" t="n">
        <f aca="false">+F144+E145</f>
        <v>0</v>
      </c>
      <c r="G145" s="498" t="n">
        <f aca="false">+G144+F145</f>
        <v>0</v>
      </c>
      <c r="H145" s="498" t="n">
        <f aca="false">+H144+G145</f>
        <v>0</v>
      </c>
      <c r="I145" s="498" t="n">
        <f aca="false">+I144+H145</f>
        <v>0</v>
      </c>
      <c r="J145" s="498" t="n">
        <f aca="false">+J144+I145</f>
        <v>0</v>
      </c>
      <c r="K145" s="498" t="n">
        <f aca="false">+K144+J145</f>
        <v>0</v>
      </c>
      <c r="L145" s="498" t="n">
        <f aca="false">+L144+K145</f>
        <v>0</v>
      </c>
      <c r="M145" s="498" t="n">
        <f aca="false">+M144+L145</f>
        <v>0</v>
      </c>
      <c r="N145" s="498" t="n">
        <f aca="false">+N144+M145</f>
        <v>0</v>
      </c>
      <c r="O145" s="370"/>
      <c r="P145" s="102"/>
      <c r="Q145" s="102"/>
    </row>
    <row r="146" customFormat="false" ht="13.8" hidden="false" customHeight="false" outlineLevel="0" collapsed="false">
      <c r="B146" s="102"/>
      <c r="C146" s="102"/>
      <c r="D146" s="102"/>
      <c r="E146" s="102"/>
      <c r="F146" s="102"/>
      <c r="G146" s="102"/>
      <c r="H146" s="102"/>
      <c r="I146" s="102"/>
      <c r="J146" s="102"/>
      <c r="K146" s="102"/>
      <c r="L146" s="102"/>
      <c r="M146" s="102"/>
      <c r="N146" s="102"/>
      <c r="O146" s="102"/>
      <c r="P146" s="102"/>
      <c r="Q146" s="102"/>
    </row>
    <row r="147" customFormat="false" ht="14.4" hidden="false" customHeight="false" outlineLevel="0" collapsed="false">
      <c r="B147" s="104" t="s">
        <v>235</v>
      </c>
      <c r="C147" s="104" t="str">
        <f aca="false">'3a-SalesForecastYear1'!$C$16</f>
        <v>Month 1</v>
      </c>
      <c r="D147" s="104" t="str">
        <f aca="false">'3a-SalesForecastYear1'!$D$16</f>
        <v>Month 2</v>
      </c>
      <c r="E147" s="104" t="str">
        <f aca="false">'3a-SalesForecastYear1'!$E$16</f>
        <v>Month 3</v>
      </c>
      <c r="F147" s="104" t="str">
        <f aca="false">'3a-SalesForecastYear1'!$F$16</f>
        <v>Month 4</v>
      </c>
      <c r="G147" s="104" t="str">
        <f aca="false">'3a-SalesForecastYear1'!$G$16</f>
        <v>Month 5</v>
      </c>
      <c r="H147" s="104" t="str">
        <f aca="false">'3a-SalesForecastYear1'!$H$16</f>
        <v>Month 6</v>
      </c>
      <c r="I147" s="104" t="str">
        <f aca="false">'3a-SalesForecastYear1'!$I$16</f>
        <v>Month 7</v>
      </c>
      <c r="J147" s="104" t="str">
        <f aca="false">'3a-SalesForecastYear1'!$J$16</f>
        <v>Month 8</v>
      </c>
      <c r="K147" s="104" t="str">
        <f aca="false">'3a-SalesForecastYear1'!$K$16</f>
        <v>Month 9</v>
      </c>
      <c r="L147" s="104" t="str">
        <f aca="false">'3a-SalesForecastYear1'!$L$16</f>
        <v>Month 10</v>
      </c>
      <c r="M147" s="104" t="str">
        <f aca="false">'3a-SalesForecastYear1'!$M$16</f>
        <v>Month 11</v>
      </c>
      <c r="N147" s="104" t="str">
        <f aca="false">'3a-SalesForecastYear1'!$N$16</f>
        <v>Month 12</v>
      </c>
      <c r="O147" s="104" t="s">
        <v>39</v>
      </c>
      <c r="P147" s="102"/>
      <c r="Q147" s="102"/>
    </row>
    <row r="148" customFormat="false" ht="14.4" hidden="false" customHeight="false" outlineLevel="0" collapsed="false">
      <c r="B148" s="286" t="s">
        <v>269</v>
      </c>
      <c r="C148" s="510"/>
      <c r="D148" s="510"/>
      <c r="E148" s="510"/>
      <c r="F148" s="510"/>
      <c r="G148" s="510"/>
      <c r="H148" s="510"/>
      <c r="I148" s="510"/>
      <c r="J148" s="510"/>
      <c r="K148" s="510"/>
      <c r="L148" s="510"/>
      <c r="M148" s="510"/>
      <c r="N148" s="510"/>
      <c r="O148" s="510"/>
      <c r="P148" s="102"/>
      <c r="Q148" s="102"/>
    </row>
    <row r="149" customFormat="false" ht="13.8" hidden="false" customHeight="false" outlineLevel="0" collapsed="false">
      <c r="B149" s="455" t="s">
        <v>356</v>
      </c>
      <c r="C149" s="370" t="n">
        <f aca="false">+D135</f>
        <v>0</v>
      </c>
      <c r="D149" s="370" t="n">
        <f aca="false">IF(C150&lt;$C$134,$D$135,0)</f>
        <v>0</v>
      </c>
      <c r="E149" s="370" t="n">
        <f aca="false">IF(D150&lt;$C$134,$D$135,0)</f>
        <v>0</v>
      </c>
      <c r="F149" s="370" t="n">
        <f aca="false">IF(E150&lt;$C$134,$D$135,0)</f>
        <v>0</v>
      </c>
      <c r="G149" s="370" t="n">
        <f aca="false">IF(F150&lt;$C$134,$D$135,0)</f>
        <v>0</v>
      </c>
      <c r="H149" s="370" t="n">
        <f aca="false">IF(G150&lt;$C$134,$D$135,0)</f>
        <v>0</v>
      </c>
      <c r="I149" s="370" t="n">
        <f aca="false">IF(H150&lt;$C$134,$D$135,0)</f>
        <v>0</v>
      </c>
      <c r="J149" s="370" t="n">
        <f aca="false">IF(I150&lt;$C$134,$D$135,0)</f>
        <v>0</v>
      </c>
      <c r="K149" s="370" t="n">
        <f aca="false">IF(J150&lt;$C$134,$D$135,0)</f>
        <v>0</v>
      </c>
      <c r="L149" s="370" t="n">
        <f aca="false">IF(K150&lt;$C$134,$D$135,0)</f>
        <v>0</v>
      </c>
      <c r="M149" s="370" t="n">
        <f aca="false">IF(L150&lt;$C$134,$D$135,0)</f>
        <v>0</v>
      </c>
      <c r="N149" s="370" t="n">
        <f aca="false">IF(M150&lt;$C$134,$D$135,0)</f>
        <v>0</v>
      </c>
      <c r="O149" s="497" t="n">
        <f aca="false">SUM(C149:N149)</f>
        <v>0</v>
      </c>
      <c r="P149" s="102"/>
      <c r="Q149" s="102"/>
    </row>
    <row r="150" customFormat="false" ht="13.8" hidden="false" customHeight="false" outlineLevel="0" collapsed="false">
      <c r="B150" s="455" t="s">
        <v>357</v>
      </c>
      <c r="C150" s="498" t="n">
        <f aca="false">+C149</f>
        <v>0</v>
      </c>
      <c r="D150" s="498" t="n">
        <f aca="false">+D149+C150</f>
        <v>0</v>
      </c>
      <c r="E150" s="498" t="n">
        <f aca="false">+E149+D150</f>
        <v>0</v>
      </c>
      <c r="F150" s="498" t="n">
        <f aca="false">+F149+E150</f>
        <v>0</v>
      </c>
      <c r="G150" s="498" t="n">
        <f aca="false">+G149+F150</f>
        <v>0</v>
      </c>
      <c r="H150" s="498" t="n">
        <f aca="false">+H149+G150</f>
        <v>0</v>
      </c>
      <c r="I150" s="498" t="n">
        <f aca="false">+I149+H150</f>
        <v>0</v>
      </c>
      <c r="J150" s="498" t="n">
        <f aca="false">+J149+I150</f>
        <v>0</v>
      </c>
      <c r="K150" s="498" t="n">
        <f aca="false">+K149+J150</f>
        <v>0</v>
      </c>
      <c r="L150" s="498" t="n">
        <f aca="false">+L149+K150</f>
        <v>0</v>
      </c>
      <c r="M150" s="498" t="n">
        <f aca="false">+M149+L150</f>
        <v>0</v>
      </c>
      <c r="N150" s="498" t="n">
        <f aca="false">+N149+M150</f>
        <v>0</v>
      </c>
      <c r="O150" s="370"/>
      <c r="P150" s="102"/>
      <c r="Q150" s="102"/>
    </row>
    <row r="151" customFormat="false" ht="13.8" hidden="false" customHeight="false" outlineLevel="0" collapsed="false">
      <c r="B151" s="120" t="s">
        <v>270</v>
      </c>
      <c r="C151" s="508"/>
      <c r="D151" s="508"/>
      <c r="E151" s="508"/>
      <c r="F151" s="508"/>
      <c r="G151" s="508"/>
      <c r="H151" s="508"/>
      <c r="I151" s="508"/>
      <c r="J151" s="508"/>
      <c r="K151" s="508"/>
      <c r="L151" s="508"/>
      <c r="M151" s="508"/>
      <c r="N151" s="508"/>
      <c r="O151" s="370"/>
      <c r="P151" s="102"/>
      <c r="Q151" s="102"/>
    </row>
    <row r="152" customFormat="false" ht="13.8" hidden="false" customHeight="false" outlineLevel="0" collapsed="false">
      <c r="B152" s="455" t="s">
        <v>350</v>
      </c>
      <c r="C152" s="370" t="n">
        <f aca="false">IF(N150&lt;$C$134,$D$135,0)</f>
        <v>0</v>
      </c>
      <c r="D152" s="370" t="n">
        <f aca="false">IF(C153&lt;$C$134,$D$135,0)</f>
        <v>0</v>
      </c>
      <c r="E152" s="370" t="n">
        <f aca="false">IF(D153&lt;$C$134,$D$135,0)</f>
        <v>0</v>
      </c>
      <c r="F152" s="370" t="n">
        <f aca="false">IF(E153&lt;$C$134,$D$135,0)</f>
        <v>0</v>
      </c>
      <c r="G152" s="370" t="n">
        <f aca="false">IF(F153&lt;$C$134,$D$135,0)</f>
        <v>0</v>
      </c>
      <c r="H152" s="370" t="n">
        <f aca="false">IF(G153&lt;$C$134,$D$135,0)</f>
        <v>0</v>
      </c>
      <c r="I152" s="370" t="n">
        <f aca="false">IF(H153&lt;$C$134,$D$135,0)</f>
        <v>0</v>
      </c>
      <c r="J152" s="370" t="n">
        <f aca="false">IF(I153&lt;$C$134,$D$135,0)</f>
        <v>0</v>
      </c>
      <c r="K152" s="370" t="n">
        <f aca="false">IF(J153&lt;$C$134,$D$135,0)</f>
        <v>0</v>
      </c>
      <c r="L152" s="370" t="n">
        <f aca="false">IF(K153&lt;$C$134,$D$135,0)</f>
        <v>0</v>
      </c>
      <c r="M152" s="370" t="n">
        <f aca="false">IF(L153&lt;$C$134,$D$135,0)</f>
        <v>0</v>
      </c>
      <c r="N152" s="370" t="n">
        <f aca="false">IF(M153&lt;$C$134,$D$135,0)</f>
        <v>0</v>
      </c>
      <c r="O152" s="497" t="n">
        <f aca="false">SUM(C152:N152)</f>
        <v>0</v>
      </c>
      <c r="P152" s="102"/>
      <c r="Q152" s="102"/>
    </row>
    <row r="153" customFormat="false" ht="13.8" hidden="false" customHeight="false" outlineLevel="0" collapsed="false">
      <c r="B153" s="455" t="s">
        <v>352</v>
      </c>
      <c r="C153" s="498" t="n">
        <f aca="false">+C152+N150</f>
        <v>0</v>
      </c>
      <c r="D153" s="498" t="n">
        <f aca="false">+D152+C153</f>
        <v>0</v>
      </c>
      <c r="E153" s="498" t="n">
        <f aca="false">+E152+D153</f>
        <v>0</v>
      </c>
      <c r="F153" s="498" t="n">
        <f aca="false">+F152+E153</f>
        <v>0</v>
      </c>
      <c r="G153" s="498" t="n">
        <f aca="false">+G152+F153</f>
        <v>0</v>
      </c>
      <c r="H153" s="498" t="n">
        <f aca="false">+H152+G153</f>
        <v>0</v>
      </c>
      <c r="I153" s="498" t="n">
        <f aca="false">+I152+H153</f>
        <v>0</v>
      </c>
      <c r="J153" s="498" t="n">
        <f aca="false">+J152+I153</f>
        <v>0</v>
      </c>
      <c r="K153" s="498" t="n">
        <f aca="false">+K152+J153</f>
        <v>0</v>
      </c>
      <c r="L153" s="498" t="n">
        <f aca="false">+L152+K153</f>
        <v>0</v>
      </c>
      <c r="M153" s="498" t="n">
        <f aca="false">+M152+L153</f>
        <v>0</v>
      </c>
      <c r="N153" s="498" t="n">
        <f aca="false">+N152+M153</f>
        <v>0</v>
      </c>
      <c r="O153" s="370"/>
      <c r="P153" s="102"/>
      <c r="Q153" s="102"/>
    </row>
    <row r="154" customFormat="false" ht="13.8" hidden="false" customHeight="false" outlineLevel="0" collapsed="false">
      <c r="B154" s="120" t="s">
        <v>271</v>
      </c>
      <c r="C154" s="508"/>
      <c r="D154" s="508"/>
      <c r="E154" s="508"/>
      <c r="F154" s="508"/>
      <c r="G154" s="508"/>
      <c r="H154" s="508"/>
      <c r="I154" s="508"/>
      <c r="J154" s="508"/>
      <c r="K154" s="508"/>
      <c r="L154" s="508"/>
      <c r="M154" s="508"/>
      <c r="N154" s="508"/>
      <c r="O154" s="370"/>
      <c r="P154" s="102"/>
      <c r="Q154" s="102"/>
    </row>
    <row r="155" customFormat="false" ht="13.8" hidden="false" customHeight="false" outlineLevel="0" collapsed="false">
      <c r="B155" s="455" t="s">
        <v>350</v>
      </c>
      <c r="C155" s="370" t="n">
        <f aca="false">IF(N153&lt;$C$134,$D$135,0)</f>
        <v>0</v>
      </c>
      <c r="D155" s="370" t="n">
        <f aca="false">IF(C156&lt;$C$134,$D$135,0)</f>
        <v>0</v>
      </c>
      <c r="E155" s="370" t="n">
        <f aca="false">IF(D156&lt;$C$134,$D$135,0)</f>
        <v>0</v>
      </c>
      <c r="F155" s="370" t="n">
        <f aca="false">IF(E156&lt;$C$134,$D$135,0)</f>
        <v>0</v>
      </c>
      <c r="G155" s="370" t="n">
        <f aca="false">IF(F156&lt;$C$134,$D$135,0)</f>
        <v>0</v>
      </c>
      <c r="H155" s="370" t="n">
        <f aca="false">IF(G156&lt;$C$134,$D$135,0)</f>
        <v>0</v>
      </c>
      <c r="I155" s="370" t="n">
        <f aca="false">IF(H156&lt;$C$134,$D$135,0)</f>
        <v>0</v>
      </c>
      <c r="J155" s="370" t="n">
        <f aca="false">IF(I156&lt;$C$134,$D$135,0)</f>
        <v>0</v>
      </c>
      <c r="K155" s="370" t="n">
        <f aca="false">IF(J156&lt;$C$134,$D$135,0)</f>
        <v>0</v>
      </c>
      <c r="L155" s="370" t="n">
        <f aca="false">IF(K156&lt;$C$134,$D$135,0)</f>
        <v>0</v>
      </c>
      <c r="M155" s="370" t="n">
        <f aca="false">IF(L156&lt;$C$134,$D$135,0)</f>
        <v>0</v>
      </c>
      <c r="N155" s="370" t="n">
        <f aca="false">IF(M156&lt;$C$134,$D$135,0)</f>
        <v>0</v>
      </c>
      <c r="O155" s="497" t="n">
        <f aca="false">SUM(C155:N155)</f>
        <v>0</v>
      </c>
      <c r="P155" s="102"/>
      <c r="Q155" s="102"/>
    </row>
    <row r="156" customFormat="false" ht="13.8" hidden="false" customHeight="false" outlineLevel="0" collapsed="false">
      <c r="B156" s="455" t="s">
        <v>353</v>
      </c>
      <c r="C156" s="498" t="n">
        <f aca="false">+C155+N153</f>
        <v>0</v>
      </c>
      <c r="D156" s="498" t="n">
        <f aca="false">+D155+C156</f>
        <v>0</v>
      </c>
      <c r="E156" s="498" t="n">
        <f aca="false">+E155+D156</f>
        <v>0</v>
      </c>
      <c r="F156" s="498" t="n">
        <f aca="false">+F155+E156</f>
        <v>0</v>
      </c>
      <c r="G156" s="498" t="n">
        <f aca="false">+G155+F156</f>
        <v>0</v>
      </c>
      <c r="H156" s="498" t="n">
        <f aca="false">+H155+G156</f>
        <v>0</v>
      </c>
      <c r="I156" s="498" t="n">
        <f aca="false">+I155+H156</f>
        <v>0</v>
      </c>
      <c r="J156" s="498" t="n">
        <f aca="false">+J155+I156</f>
        <v>0</v>
      </c>
      <c r="K156" s="498" t="n">
        <f aca="false">+K155+J156</f>
        <v>0</v>
      </c>
      <c r="L156" s="498" t="n">
        <f aca="false">+L155+K156</f>
        <v>0</v>
      </c>
      <c r="M156" s="498" t="n">
        <f aca="false">+M155+L156</f>
        <v>0</v>
      </c>
      <c r="N156" s="498" t="n">
        <f aca="false">+N155+M156</f>
        <v>0</v>
      </c>
      <c r="O156" s="370"/>
      <c r="P156" s="102"/>
      <c r="Q156" s="102"/>
    </row>
  </sheetData>
  <sheetProtection sheet="true" password="cc3d" objects="true" scenarios="true" formatColumns="false" formatRows="false"/>
  <mergeCells count="8">
    <mergeCell ref="B2:E2"/>
    <mergeCell ref="E4:G6"/>
    <mergeCell ref="B8:C8"/>
    <mergeCell ref="B28:C28"/>
    <mergeCell ref="B48:C48"/>
    <mergeCell ref="B68:C68"/>
    <mergeCell ref="B88:C88"/>
    <mergeCell ref="B108:C108"/>
  </mergeCells>
  <hyperlinks>
    <hyperlink ref="E4" location="'1-StartingPoint'!A1" display="Return to Starting Point"/>
  </hyperlinks>
  <printOptions headings="false" gridLines="false" gridLinesSet="true" horizontalCentered="false" verticalCentered="false"/>
  <pageMargins left="0.25" right="0.25" top="0.75" bottom="0.75" header="0.3" footer="0.511805555555555"/>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MT,Regular"&amp;12Amortization and Depreciation Schedule</oddHeader>
    <oddFooter/>
  </headerFooter>
  <rowBreaks count="3" manualBreakCount="3">
    <brk id="46" man="true" max="16383" min="0"/>
    <brk id="86" man="true" max="16383" min="0"/>
    <brk id="129" man="true" max="16383" min="0"/>
  </rowBreaks>
</worksheet>
</file>

<file path=xl/worksheets/sheet2.xml><?xml version="1.0" encoding="utf-8"?>
<worksheet xmlns="http://schemas.openxmlformats.org/spreadsheetml/2006/main" xmlns:r="http://schemas.openxmlformats.org/officeDocument/2006/relationships">
  <sheetPr filterMode="false">
    <pageSetUpPr fitToPage="true"/>
  </sheetPr>
  <dimension ref="A1:L52"/>
  <sheetViews>
    <sheetView windowProtection="false" showFormulas="false" showGridLines="true" showRowColHeaders="true" showZeros="true" rightToLeft="false" tabSelected="false" showOutlineSymbols="true" defaultGridColor="true" view="normal" topLeftCell="A22" colorId="64" zoomScale="80" zoomScaleNormal="80" zoomScalePageLayoutView="100" workbookViewId="0">
      <selection pane="topLeft" activeCell="I34" activeCellId="0" sqref="I34"/>
    </sheetView>
  </sheetViews>
  <sheetFormatPr defaultRowHeight="16.8"/>
  <cols>
    <col collapsed="false" hidden="false" max="1" min="1" style="15" width="8.88259109311741"/>
    <col collapsed="false" hidden="false" max="2" min="2" style="15" width="35"/>
    <col collapsed="false" hidden="false" max="3" min="3" style="15" width="20.668016194332"/>
    <col collapsed="false" hidden="false" max="4" min="4" style="15" width="21.5506072874494"/>
    <col collapsed="false" hidden="false" max="5" min="5" style="15" width="11.1133603238866"/>
    <col collapsed="false" hidden="false" max="6" min="6" style="15" width="22.331983805668"/>
    <col collapsed="false" hidden="false" max="7" min="7" style="15" width="19.668016194332"/>
    <col collapsed="false" hidden="false" max="8" min="8" style="15" width="16.4372469635628"/>
    <col collapsed="false" hidden="false" max="1025" min="9" style="15" width="8.88259109311741"/>
  </cols>
  <sheetData>
    <row r="1" customFormat="false" ht="16.8" hidden="false" customHeight="false" outlineLevel="0" collapsed="false">
      <c r="A1" s="16"/>
      <c r="B1" s="16"/>
      <c r="C1" s="16"/>
      <c r="D1" s="16"/>
      <c r="E1" s="16"/>
      <c r="F1" s="16"/>
      <c r="G1" s="16"/>
      <c r="H1" s="16"/>
      <c r="I1" s="16"/>
      <c r="J1" s="0"/>
      <c r="K1" s="0"/>
      <c r="L1" s="0"/>
    </row>
    <row r="2" customFormat="false" ht="16.8" hidden="false" customHeight="false" outlineLevel="0" collapsed="false">
      <c r="A2" s="16"/>
      <c r="B2" s="17" t="s">
        <v>7</v>
      </c>
      <c r="C2" s="17"/>
      <c r="D2" s="17"/>
      <c r="E2" s="16"/>
      <c r="F2" s="16"/>
      <c r="G2" s="16"/>
      <c r="H2" s="16"/>
      <c r="I2" s="16"/>
      <c r="J2" s="0"/>
      <c r="K2" s="0"/>
      <c r="L2" s="0"/>
    </row>
    <row r="3" customFormat="false" ht="16.8" hidden="false" customHeight="false" outlineLevel="0" collapsed="false">
      <c r="A3" s="16"/>
      <c r="B3" s="18"/>
      <c r="C3" s="18"/>
      <c r="D3" s="16"/>
      <c r="E3" s="16"/>
      <c r="F3" s="16"/>
      <c r="G3" s="16"/>
      <c r="H3" s="16"/>
      <c r="I3" s="16"/>
      <c r="J3" s="0"/>
      <c r="K3" s="0"/>
      <c r="L3" s="0"/>
    </row>
    <row r="4" customFormat="false" ht="18" hidden="false" customHeight="true" outlineLevel="0" collapsed="false">
      <c r="A4" s="16"/>
      <c r="B4" s="19" t="s">
        <v>8</v>
      </c>
      <c r="C4" s="20" t="s">
        <v>9</v>
      </c>
      <c r="D4" s="16"/>
      <c r="E4" s="16"/>
      <c r="F4" s="16"/>
      <c r="G4" s="16"/>
      <c r="H4" s="16"/>
      <c r="I4" s="16"/>
      <c r="J4" s="0"/>
      <c r="K4" s="0"/>
      <c r="L4" s="0"/>
    </row>
    <row r="5" customFormat="false" ht="16.8" hidden="false" customHeight="false" outlineLevel="0" collapsed="false">
      <c r="A5" s="21"/>
      <c r="B5" s="22" t="str">
        <f aca="false">IF(ISBLANK(Directions!C6), "Owner", Directions!C6)</f>
        <v>Owner</v>
      </c>
      <c r="C5" s="21" t="str">
        <f aca="false">IF(ISBLANK(Directions!D6), "Company 1", Directions!D6)</f>
        <v>Company 1</v>
      </c>
      <c r="D5" s="21"/>
      <c r="E5" s="21"/>
      <c r="F5" s="21"/>
      <c r="G5" s="21"/>
      <c r="H5" s="16"/>
      <c r="I5" s="0"/>
      <c r="J5" s="0"/>
      <c r="K5" s="0"/>
      <c r="L5" s="0"/>
    </row>
    <row r="6" customFormat="false" ht="16.8" hidden="false" customHeight="false" outlineLevel="0" collapsed="false">
      <c r="A6" s="16"/>
      <c r="B6" s="16"/>
      <c r="C6" s="16"/>
      <c r="D6" s="23"/>
      <c r="E6" s="23"/>
      <c r="F6" s="23"/>
      <c r="G6" s="23"/>
      <c r="H6" s="16"/>
      <c r="I6" s="0"/>
      <c r="J6" s="0"/>
      <c r="K6" s="0"/>
      <c r="L6" s="0"/>
    </row>
    <row r="7" customFormat="false" ht="17.25" hidden="false" customHeight="true" outlineLevel="0" collapsed="false">
      <c r="A7" s="16"/>
      <c r="B7" s="24" t="s">
        <v>10</v>
      </c>
      <c r="C7" s="24" t="s">
        <v>11</v>
      </c>
      <c r="D7" s="24" t="s">
        <v>12</v>
      </c>
      <c r="E7" s="24" t="s">
        <v>13</v>
      </c>
      <c r="F7" s="24"/>
      <c r="G7" s="25"/>
      <c r="H7" s="16"/>
      <c r="I7" s="16"/>
      <c r="J7" s="16"/>
      <c r="K7" s="0"/>
      <c r="L7" s="0"/>
    </row>
    <row r="8" customFormat="false" ht="17.4" hidden="false" customHeight="false" outlineLevel="0" collapsed="false">
      <c r="A8" s="16"/>
      <c r="B8" s="26"/>
      <c r="C8" s="27"/>
      <c r="D8" s="27"/>
      <c r="E8" s="28"/>
      <c r="F8" s="28"/>
      <c r="G8" s="29"/>
      <c r="H8" s="16"/>
      <c r="I8" s="16"/>
      <c r="J8" s="16"/>
      <c r="K8" s="0"/>
      <c r="L8" s="0"/>
    </row>
    <row r="9" customFormat="false" ht="16.8" hidden="false" customHeight="false" outlineLevel="0" collapsed="false">
      <c r="A9" s="16"/>
      <c r="B9" s="30" t="s">
        <v>14</v>
      </c>
      <c r="C9" s="31"/>
      <c r="D9" s="32" t="s">
        <v>15</v>
      </c>
      <c r="E9" s="33"/>
      <c r="F9" s="33"/>
      <c r="G9" s="29"/>
      <c r="H9" s="16"/>
      <c r="I9" s="16"/>
      <c r="J9" s="16"/>
      <c r="K9" s="0"/>
      <c r="L9" s="0"/>
    </row>
    <row r="10" customFormat="false" ht="16.8" hidden="false" customHeight="false" outlineLevel="0" collapsed="false">
      <c r="A10" s="16"/>
      <c r="B10" s="30" t="s">
        <v>16</v>
      </c>
      <c r="C10" s="34"/>
      <c r="D10" s="35" t="n">
        <v>20</v>
      </c>
      <c r="E10" s="36"/>
      <c r="F10" s="36"/>
      <c r="G10" s="37"/>
      <c r="H10" s="16"/>
      <c r="I10" s="16"/>
      <c r="J10" s="16"/>
      <c r="K10" s="0"/>
      <c r="L10" s="0"/>
    </row>
    <row r="11" customFormat="false" ht="16.8" hidden="false" customHeight="false" outlineLevel="0" collapsed="false">
      <c r="A11" s="16"/>
      <c r="B11" s="30" t="s">
        <v>17</v>
      </c>
      <c r="C11" s="34"/>
      <c r="D11" s="35" t="n">
        <v>7</v>
      </c>
      <c r="E11" s="36"/>
      <c r="F11" s="36"/>
      <c r="G11" s="37"/>
      <c r="H11" s="16"/>
      <c r="I11" s="16"/>
      <c r="J11" s="16"/>
      <c r="K11" s="0"/>
      <c r="L11" s="0"/>
    </row>
    <row r="12" customFormat="false" ht="16.8" hidden="false" customHeight="false" outlineLevel="0" collapsed="false">
      <c r="A12" s="16"/>
      <c r="B12" s="30" t="s">
        <v>18</v>
      </c>
      <c r="C12" s="34"/>
      <c r="D12" s="35" t="n">
        <v>7</v>
      </c>
      <c r="E12" s="36"/>
      <c r="F12" s="36"/>
      <c r="G12" s="37"/>
      <c r="H12" s="16"/>
      <c r="I12" s="16"/>
      <c r="J12" s="16"/>
      <c r="K12" s="0"/>
      <c r="L12" s="0"/>
    </row>
    <row r="13" customFormat="false" ht="16.8" hidden="false" customHeight="false" outlineLevel="0" collapsed="false">
      <c r="A13" s="16"/>
      <c r="B13" s="30" t="s">
        <v>19</v>
      </c>
      <c r="C13" s="34"/>
      <c r="D13" s="35" t="n">
        <v>5</v>
      </c>
      <c r="E13" s="36"/>
      <c r="F13" s="36"/>
      <c r="G13" s="37"/>
      <c r="H13" s="16"/>
      <c r="I13" s="16"/>
      <c r="J13" s="16"/>
      <c r="K13" s="0"/>
      <c r="L13" s="0"/>
    </row>
    <row r="14" customFormat="false" ht="16.8" hidden="false" customHeight="false" outlineLevel="0" collapsed="false">
      <c r="A14" s="16"/>
      <c r="B14" s="30" t="s">
        <v>20</v>
      </c>
      <c r="C14" s="34"/>
      <c r="D14" s="35" t="n">
        <v>5</v>
      </c>
      <c r="E14" s="36"/>
      <c r="F14" s="36"/>
      <c r="G14" s="37"/>
      <c r="H14" s="16"/>
      <c r="I14" s="16"/>
      <c r="J14" s="16"/>
      <c r="K14" s="0"/>
      <c r="L14" s="0"/>
    </row>
    <row r="15" customFormat="false" ht="16.8" hidden="false" customHeight="false" outlineLevel="0" collapsed="false">
      <c r="A15" s="16"/>
      <c r="B15" s="30" t="s">
        <v>21</v>
      </c>
      <c r="C15" s="34"/>
      <c r="D15" s="35" t="n">
        <v>5</v>
      </c>
      <c r="E15" s="36"/>
      <c r="F15" s="36"/>
      <c r="G15" s="37"/>
      <c r="H15" s="16"/>
      <c r="I15" s="16"/>
      <c r="J15" s="16"/>
      <c r="K15" s="0"/>
      <c r="L15" s="0"/>
    </row>
    <row r="16" customFormat="false" ht="16.8" hidden="false" customHeight="false" outlineLevel="0" collapsed="false">
      <c r="A16" s="16"/>
      <c r="B16" s="38" t="s">
        <v>22</v>
      </c>
      <c r="C16" s="39" t="n">
        <f aca="false">SUM(C9:C15)</f>
        <v>0</v>
      </c>
      <c r="D16" s="40"/>
      <c r="E16" s="41"/>
      <c r="F16" s="41"/>
      <c r="G16" s="42"/>
      <c r="H16" s="16"/>
      <c r="I16" s="16"/>
      <c r="J16" s="16"/>
      <c r="K16" s="0"/>
      <c r="L16" s="0"/>
    </row>
    <row r="17" customFormat="false" ht="16.8" hidden="false" customHeight="false" outlineLevel="0" collapsed="false">
      <c r="A17" s="16"/>
      <c r="B17" s="43"/>
      <c r="C17" s="43"/>
      <c r="D17" s="43"/>
      <c r="E17" s="43"/>
      <c r="F17" s="43"/>
      <c r="G17" s="44"/>
      <c r="H17" s="16"/>
      <c r="I17" s="16"/>
      <c r="J17" s="0"/>
      <c r="K17" s="0"/>
      <c r="L17" s="0"/>
    </row>
    <row r="18" customFormat="false" ht="17.4" hidden="false" customHeight="false" outlineLevel="0" collapsed="false">
      <c r="A18" s="16"/>
      <c r="B18" s="45" t="s">
        <v>23</v>
      </c>
      <c r="C18" s="46" t="s">
        <v>11</v>
      </c>
      <c r="D18" s="47" t="s">
        <v>13</v>
      </c>
      <c r="E18" s="47"/>
      <c r="F18" s="47"/>
      <c r="G18" s="16"/>
      <c r="H18" s="16"/>
      <c r="I18" s="16"/>
      <c r="J18" s="0"/>
      <c r="K18" s="0"/>
      <c r="L18" s="0"/>
    </row>
    <row r="19" customFormat="false" ht="17.4" hidden="false" customHeight="false" outlineLevel="0" collapsed="false">
      <c r="A19" s="16"/>
      <c r="B19" s="48" t="s">
        <v>24</v>
      </c>
      <c r="C19" s="49"/>
      <c r="D19" s="50"/>
      <c r="E19" s="50"/>
      <c r="F19" s="50"/>
      <c r="G19" s="16"/>
      <c r="H19" s="16"/>
      <c r="I19" s="16"/>
      <c r="J19" s="0"/>
      <c r="K19" s="0"/>
      <c r="L19" s="0"/>
    </row>
    <row r="20" customFormat="false" ht="16.8" hidden="false" customHeight="false" outlineLevel="0" collapsed="false">
      <c r="A20" s="16"/>
      <c r="B20" s="38" t="s">
        <v>25</v>
      </c>
      <c r="C20" s="34"/>
      <c r="D20" s="51"/>
      <c r="E20" s="51"/>
      <c r="F20" s="51"/>
      <c r="G20" s="16"/>
      <c r="H20" s="16"/>
      <c r="I20" s="16"/>
      <c r="J20" s="0"/>
      <c r="K20" s="0"/>
      <c r="L20" s="0"/>
    </row>
    <row r="21" customFormat="false" ht="16.8" hidden="false" customHeight="false" outlineLevel="0" collapsed="false">
      <c r="A21" s="16"/>
      <c r="B21" s="38" t="s">
        <v>26</v>
      </c>
      <c r="C21" s="34"/>
      <c r="D21" s="51"/>
      <c r="E21" s="51"/>
      <c r="F21" s="51"/>
      <c r="G21" s="16"/>
      <c r="H21" s="16"/>
      <c r="I21" s="16"/>
      <c r="J21" s="0"/>
      <c r="K21" s="0"/>
      <c r="L21" s="0"/>
    </row>
    <row r="22" customFormat="false" ht="16.8" hidden="false" customHeight="false" outlineLevel="0" collapsed="false">
      <c r="A22" s="16"/>
      <c r="B22" s="38" t="s">
        <v>27</v>
      </c>
      <c r="C22" s="34"/>
      <c r="D22" s="51"/>
      <c r="E22" s="51"/>
      <c r="F22" s="51"/>
      <c r="G22" s="16"/>
      <c r="H22" s="16"/>
      <c r="I22" s="16"/>
      <c r="J22" s="0"/>
      <c r="K22" s="0"/>
      <c r="L22" s="0"/>
    </row>
    <row r="23" customFormat="false" ht="16.8" hidden="false" customHeight="false" outlineLevel="0" collapsed="false">
      <c r="A23" s="16"/>
      <c r="B23" s="38" t="s">
        <v>28</v>
      </c>
      <c r="C23" s="34"/>
      <c r="D23" s="51"/>
      <c r="E23" s="51"/>
      <c r="F23" s="51"/>
      <c r="G23" s="16"/>
      <c r="H23" s="16"/>
      <c r="I23" s="16"/>
      <c r="J23" s="0"/>
      <c r="K23" s="0"/>
      <c r="L23" s="0"/>
    </row>
    <row r="24" customFormat="false" ht="16.8" hidden="false" customHeight="false" outlineLevel="0" collapsed="false">
      <c r="A24" s="16"/>
      <c r="B24" s="38" t="s">
        <v>29</v>
      </c>
      <c r="C24" s="34"/>
      <c r="D24" s="51"/>
      <c r="E24" s="51"/>
      <c r="F24" s="51"/>
      <c r="G24" s="16"/>
      <c r="H24" s="16"/>
      <c r="I24" s="16"/>
      <c r="J24" s="0"/>
      <c r="K24" s="0"/>
      <c r="L24" s="0"/>
    </row>
    <row r="25" customFormat="false" ht="16.8" hidden="false" customHeight="false" outlineLevel="0" collapsed="false">
      <c r="A25" s="16"/>
      <c r="B25" s="38" t="s">
        <v>30</v>
      </c>
      <c r="C25" s="34"/>
      <c r="D25" s="51"/>
      <c r="E25" s="51"/>
      <c r="F25" s="51"/>
      <c r="G25" s="52"/>
      <c r="H25" s="16"/>
      <c r="I25" s="16"/>
      <c r="J25" s="0"/>
      <c r="K25" s="0"/>
      <c r="L25" s="0"/>
    </row>
    <row r="26" customFormat="false" ht="16.8" hidden="false" customHeight="false" outlineLevel="0" collapsed="false">
      <c r="A26" s="16"/>
      <c r="B26" s="38" t="s">
        <v>31</v>
      </c>
      <c r="C26" s="34"/>
      <c r="D26" s="51"/>
      <c r="E26" s="51"/>
      <c r="F26" s="51"/>
      <c r="G26" s="16"/>
      <c r="H26" s="16"/>
      <c r="I26" s="16"/>
      <c r="J26" s="0"/>
      <c r="K26" s="0"/>
      <c r="L26" s="0"/>
    </row>
    <row r="27" customFormat="false" ht="16.8" hidden="false" customHeight="false" outlineLevel="0" collapsed="false">
      <c r="A27" s="16"/>
      <c r="B27" s="38" t="s">
        <v>32</v>
      </c>
      <c r="C27" s="34"/>
      <c r="D27" s="51"/>
      <c r="E27" s="51"/>
      <c r="F27" s="51"/>
      <c r="G27" s="16"/>
      <c r="H27" s="16"/>
      <c r="I27" s="16"/>
      <c r="J27" s="0"/>
      <c r="K27" s="0"/>
      <c r="L27" s="0"/>
    </row>
    <row r="28" customFormat="false" ht="16.8" hidden="false" customHeight="false" outlineLevel="0" collapsed="false">
      <c r="A28" s="16"/>
      <c r="B28" s="38" t="s">
        <v>33</v>
      </c>
      <c r="C28" s="34"/>
      <c r="D28" s="51"/>
      <c r="E28" s="51"/>
      <c r="F28" s="51"/>
      <c r="G28" s="16"/>
      <c r="H28" s="16"/>
      <c r="I28" s="16"/>
      <c r="J28" s="0"/>
      <c r="K28" s="0"/>
      <c r="L28" s="0"/>
    </row>
    <row r="29" customFormat="false" ht="16.8" hidden="false" customHeight="false" outlineLevel="0" collapsed="false">
      <c r="A29" s="16"/>
      <c r="B29" s="53" t="s">
        <v>34</v>
      </c>
      <c r="C29" s="34"/>
      <c r="D29" s="51"/>
      <c r="E29" s="51"/>
      <c r="F29" s="51"/>
      <c r="G29" s="16"/>
      <c r="H29" s="16"/>
      <c r="I29" s="16"/>
      <c r="J29" s="0"/>
      <c r="K29" s="0"/>
      <c r="L29" s="0"/>
    </row>
    <row r="30" customFormat="false" ht="16.8" hidden="false" customHeight="false" outlineLevel="0" collapsed="false">
      <c r="A30" s="16"/>
      <c r="B30" s="38" t="s">
        <v>35</v>
      </c>
      <c r="C30" s="54" t="n">
        <f aca="false">SUM(C19:C29)</f>
        <v>0</v>
      </c>
      <c r="D30" s="51"/>
      <c r="E30" s="51"/>
      <c r="F30" s="51"/>
      <c r="G30" s="16"/>
      <c r="H30" s="16"/>
      <c r="I30" s="16"/>
      <c r="J30" s="0"/>
      <c r="K30" s="0"/>
      <c r="L30" s="0"/>
    </row>
    <row r="31" customFormat="false" ht="17.4" hidden="false" customHeight="false" outlineLevel="0" collapsed="false">
      <c r="A31" s="16"/>
      <c r="B31" s="38" t="s">
        <v>36</v>
      </c>
      <c r="C31" s="55" t="n">
        <f aca="false">C16+C30</f>
        <v>0</v>
      </c>
      <c r="D31" s="56"/>
      <c r="E31" s="56"/>
      <c r="F31" s="56"/>
      <c r="G31" s="16"/>
      <c r="H31" s="16"/>
      <c r="I31" s="16"/>
      <c r="J31" s="0"/>
      <c r="K31" s="0"/>
      <c r="L31" s="0"/>
    </row>
    <row r="32" customFormat="false" ht="16.8" hidden="false" customHeight="false" outlineLevel="0" collapsed="false">
      <c r="A32" s="16"/>
      <c r="B32" s="57"/>
      <c r="C32" s="58"/>
      <c r="D32" s="59"/>
      <c r="E32" s="59"/>
      <c r="F32" s="60"/>
      <c r="G32" s="61"/>
      <c r="H32" s="16"/>
      <c r="I32" s="16"/>
      <c r="J32" s="0"/>
      <c r="K32" s="0"/>
      <c r="L32" s="0"/>
    </row>
    <row r="33" customFormat="false" ht="17.4" hidden="false" customHeight="false" outlineLevel="0" collapsed="false">
      <c r="A33" s="16"/>
      <c r="B33" s="24" t="s">
        <v>37</v>
      </c>
      <c r="C33" s="24" t="s">
        <v>38</v>
      </c>
      <c r="D33" s="24" t="s">
        <v>39</v>
      </c>
      <c r="E33" s="24" t="s">
        <v>40</v>
      </c>
      <c r="F33" s="24" t="s">
        <v>41</v>
      </c>
      <c r="G33" s="24" t="s">
        <v>42</v>
      </c>
      <c r="H33" s="24" t="s">
        <v>13</v>
      </c>
      <c r="J33" s="0"/>
      <c r="K33" s="0"/>
      <c r="L33" s="0"/>
    </row>
    <row r="34" customFormat="false" ht="17.4" hidden="false" customHeight="false" outlineLevel="0" collapsed="false">
      <c r="A34" s="16"/>
      <c r="B34" s="62" t="s">
        <v>43</v>
      </c>
      <c r="C34" s="63" t="n">
        <f aca="false">IF($C$31=0,0,D34/$C$31)</f>
        <v>0</v>
      </c>
      <c r="D34" s="49"/>
      <c r="E34" s="27"/>
      <c r="F34" s="64"/>
      <c r="G34" s="27"/>
      <c r="H34" s="65"/>
      <c r="J34" s="0"/>
      <c r="K34" s="0"/>
      <c r="L34" s="0"/>
    </row>
    <row r="35" customFormat="false" ht="16.8" hidden="false" customHeight="false" outlineLevel="0" collapsed="false">
      <c r="A35" s="16"/>
      <c r="B35" s="66" t="s">
        <v>44</v>
      </c>
      <c r="C35" s="67" t="n">
        <f aca="false">IF($C$31=0,0,D35/$C$31)</f>
        <v>0</v>
      </c>
      <c r="D35" s="34"/>
      <c r="E35" s="68"/>
      <c r="F35" s="68"/>
      <c r="G35" s="68"/>
      <c r="H35" s="69"/>
      <c r="J35" s="0"/>
      <c r="K35" s="0"/>
      <c r="L35" s="0"/>
    </row>
    <row r="36" customFormat="false" ht="16.8" hidden="false" customHeight="false" outlineLevel="0" collapsed="false">
      <c r="A36" s="16"/>
      <c r="B36" s="66" t="s">
        <v>45</v>
      </c>
      <c r="C36" s="67"/>
      <c r="D36" s="68"/>
      <c r="E36" s="68"/>
      <c r="F36" s="68"/>
      <c r="G36" s="68"/>
      <c r="H36" s="69"/>
      <c r="J36" s="0"/>
      <c r="K36" s="0"/>
      <c r="L36" s="0"/>
    </row>
    <row r="37" customFormat="false" ht="16.8" hidden="false" customHeight="false" outlineLevel="0" collapsed="false">
      <c r="A37" s="16"/>
      <c r="B37" s="70" t="s">
        <v>46</v>
      </c>
      <c r="C37" s="67" t="n">
        <f aca="false">IF($C$31=0,0,D37/$C$31)</f>
        <v>0</v>
      </c>
      <c r="D37" s="34"/>
      <c r="E37" s="71" t="n">
        <v>0.09</v>
      </c>
      <c r="F37" s="72" t="n">
        <v>84</v>
      </c>
      <c r="G37" s="73" t="n">
        <f aca="false">PMT(E37/12,F37,-D37)</f>
        <v>0</v>
      </c>
      <c r="H37" s="69"/>
      <c r="J37" s="0"/>
      <c r="K37" s="0"/>
      <c r="L37" s="0"/>
    </row>
    <row r="38" customFormat="false" ht="16.8" hidden="false" customHeight="true" outlineLevel="0" collapsed="false">
      <c r="A38" s="16"/>
      <c r="B38" s="70" t="s">
        <v>47</v>
      </c>
      <c r="C38" s="67" t="n">
        <f aca="false">IF($C$31=0,0,D38/$C$31)</f>
        <v>0</v>
      </c>
      <c r="D38" s="34"/>
      <c r="E38" s="71" t="n">
        <v>0.09</v>
      </c>
      <c r="F38" s="72" t="n">
        <v>240</v>
      </c>
      <c r="G38" s="73" t="n">
        <f aca="false">PMT(E38/12,F38,-D38)</f>
        <v>0</v>
      </c>
      <c r="H38" s="69"/>
      <c r="J38" s="74" t="s">
        <v>48</v>
      </c>
      <c r="K38" s="74"/>
      <c r="L38" s="74"/>
    </row>
    <row r="39" customFormat="false" ht="16.8" hidden="false" customHeight="false" outlineLevel="0" collapsed="false">
      <c r="A39" s="16"/>
      <c r="B39" s="70" t="s">
        <v>49</v>
      </c>
      <c r="C39" s="67" t="n">
        <f aca="false">IF($C$31=0,0,D39/$C$31)</f>
        <v>0</v>
      </c>
      <c r="D39" s="34"/>
      <c r="E39" s="71" t="n">
        <v>0.07</v>
      </c>
      <c r="F39" s="72" t="n">
        <v>60</v>
      </c>
      <c r="G39" s="73" t="n">
        <f aca="false">PMT(E39/12,F39,-D39)</f>
        <v>0</v>
      </c>
      <c r="H39" s="69"/>
      <c r="J39" s="74"/>
      <c r="K39" s="74"/>
      <c r="L39" s="74"/>
    </row>
    <row r="40" customFormat="false" ht="16.8" hidden="false" customHeight="false" outlineLevel="0" collapsed="false">
      <c r="A40" s="16"/>
      <c r="B40" s="70" t="s">
        <v>50</v>
      </c>
      <c r="C40" s="67" t="n">
        <f aca="false">IF($C$31=0,0,D40/$C$31)</f>
        <v>0</v>
      </c>
      <c r="D40" s="34"/>
      <c r="E40" s="71" t="n">
        <v>0.06</v>
      </c>
      <c r="F40" s="72" t="n">
        <v>48</v>
      </c>
      <c r="G40" s="73" t="n">
        <f aca="false">PMT(E40/12,F40,-D40)</f>
        <v>0</v>
      </c>
      <c r="H40" s="69"/>
      <c r="J40" s="74"/>
      <c r="K40" s="74"/>
      <c r="L40" s="74"/>
    </row>
    <row r="41" customFormat="false" ht="16.8" hidden="false" customHeight="false" outlineLevel="0" collapsed="false">
      <c r="A41" s="16"/>
      <c r="B41" s="70" t="s">
        <v>51</v>
      </c>
      <c r="C41" s="67" t="n">
        <f aca="false">IF($C$31=0,0,D41/$C$31)</f>
        <v>0</v>
      </c>
      <c r="D41" s="34"/>
      <c r="E41" s="71" t="n">
        <v>0.05</v>
      </c>
      <c r="F41" s="72" t="n">
        <v>36</v>
      </c>
      <c r="G41" s="73" t="n">
        <f aca="false">PMT(E41/12,F41,-D41)</f>
        <v>0</v>
      </c>
      <c r="H41" s="75"/>
      <c r="J41" s="74"/>
      <c r="K41" s="74"/>
      <c r="L41" s="74"/>
    </row>
    <row r="42" customFormat="false" ht="16.8" hidden="false" customHeight="false" outlineLevel="0" collapsed="false">
      <c r="A42" s="16"/>
      <c r="B42" s="38" t="s">
        <v>52</v>
      </c>
      <c r="C42" s="67" t="n">
        <f aca="false">IF($C$31=0,0,D42/$C$31)</f>
        <v>0</v>
      </c>
      <c r="D42" s="76" t="n">
        <f aca="false">SUM(D34:D41)</f>
        <v>0</v>
      </c>
      <c r="E42" s="77" t="s">
        <v>53</v>
      </c>
      <c r="F42" s="77"/>
      <c r="G42" s="78" t="n">
        <f aca="false">SUM(G37:G41)</f>
        <v>0</v>
      </c>
      <c r="H42" s="79"/>
    </row>
    <row r="43" customFormat="false" ht="16.8" hidden="false" customHeight="false" outlineLevel="0" collapsed="false">
      <c r="A43" s="16"/>
      <c r="B43" s="38" t="s">
        <v>54</v>
      </c>
      <c r="C43" s="38"/>
      <c r="D43" s="76" t="n">
        <f aca="false">C31-D42</f>
        <v>0</v>
      </c>
      <c r="E43" s="80" t="str">
        <f aca="false">IF(D43&gt;0,"You require more funding (Not Balanced)",IF(D43&lt;0,"Your funding exceeds your needs (Not Balanced)","You are fully funded (Balanced)"))</f>
        <v>You are fully funded (Balanced)</v>
      </c>
      <c r="F43" s="80"/>
      <c r="G43" s="80"/>
      <c r="H43" s="81"/>
    </row>
    <row r="44" customFormat="false" ht="16.8" hidden="false" customHeight="false" outlineLevel="0" collapsed="false">
      <c r="A44" s="16"/>
      <c r="B44" s="82"/>
      <c r="C44" s="83"/>
      <c r="D44" s="83"/>
      <c r="E44" s="83"/>
      <c r="F44" s="83"/>
      <c r="G44" s="83"/>
      <c r="H44" s="16"/>
    </row>
    <row r="45" customFormat="false" ht="16.8" hidden="false" customHeight="false" outlineLevel="0" collapsed="false">
      <c r="A45" s="16"/>
      <c r="B45" s="23"/>
      <c r="C45" s="83"/>
      <c r="D45" s="23"/>
      <c r="E45" s="23"/>
      <c r="F45" s="23"/>
      <c r="G45" s="16"/>
      <c r="H45" s="16"/>
    </row>
    <row r="46" customFormat="false" ht="17.4" hidden="false" customHeight="true" outlineLevel="0" collapsed="false">
      <c r="B46" s="84" t="s">
        <v>55</v>
      </c>
      <c r="C46" s="84"/>
      <c r="D46" s="85"/>
      <c r="E46" s="85"/>
      <c r="F46" s="85"/>
      <c r="G46" s="85"/>
    </row>
    <row r="47" customFormat="false" ht="17.4" hidden="false" customHeight="false" outlineLevel="0" collapsed="false">
      <c r="B47" s="86" t="s">
        <v>56</v>
      </c>
      <c r="C47" s="87" t="n">
        <v>0</v>
      </c>
      <c r="D47" s="85"/>
      <c r="E47" s="88"/>
      <c r="F47" s="85"/>
      <c r="G47" s="89"/>
    </row>
    <row r="48" customFormat="false" ht="16.8" hidden="false" customHeight="false" outlineLevel="0" collapsed="false">
      <c r="B48" s="90" t="s">
        <v>57</v>
      </c>
      <c r="C48" s="91" t="n">
        <v>0</v>
      </c>
      <c r="D48" s="85"/>
      <c r="E48" s="88"/>
      <c r="F48" s="85"/>
      <c r="G48" s="89"/>
    </row>
    <row r="49" customFormat="false" ht="16.8" hidden="false" customHeight="false" outlineLevel="0" collapsed="false">
      <c r="B49" s="90" t="s">
        <v>58</v>
      </c>
      <c r="C49" s="91" t="n">
        <v>0</v>
      </c>
      <c r="D49" s="85"/>
      <c r="E49" s="85"/>
      <c r="F49" s="85"/>
      <c r="G49" s="85"/>
    </row>
    <row r="50" customFormat="false" ht="16.8" hidden="false" customHeight="false" outlineLevel="0" collapsed="false">
      <c r="B50" s="90" t="s">
        <v>59</v>
      </c>
      <c r="C50" s="91" t="n">
        <v>0</v>
      </c>
      <c r="D50" s="85"/>
      <c r="E50" s="85"/>
      <c r="F50" s="85"/>
      <c r="G50" s="85"/>
    </row>
    <row r="51" customFormat="false" ht="16.8" hidden="false" customHeight="false" outlineLevel="0" collapsed="false">
      <c r="B51" s="90" t="s">
        <v>60</v>
      </c>
      <c r="C51" s="91" t="n">
        <v>0</v>
      </c>
      <c r="D51" s="0"/>
    </row>
    <row r="52" customFormat="false" ht="16.8" hidden="false" customHeight="false" outlineLevel="0" collapsed="false">
      <c r="B52" s="38" t="s">
        <v>61</v>
      </c>
      <c r="C52" s="76" t="n">
        <f aca="false">(C47+C48+C49-C50-C51)</f>
        <v>0</v>
      </c>
      <c r="D52" s="92"/>
    </row>
  </sheetData>
  <sheetProtection sheet="true" password="cc3d" objects="true" scenarios="true" formatColumns="false" formatRows="false"/>
  <mergeCells count="30">
    <mergeCell ref="B2:D2"/>
    <mergeCell ref="E7:F7"/>
    <mergeCell ref="E8:F8"/>
    <mergeCell ref="E9:F9"/>
    <mergeCell ref="E10:F10"/>
    <mergeCell ref="E11:F11"/>
    <mergeCell ref="E12:F12"/>
    <mergeCell ref="E13:F13"/>
    <mergeCell ref="E14:F14"/>
    <mergeCell ref="E15:F15"/>
    <mergeCell ref="E16:F16"/>
    <mergeCell ref="B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J38:L41"/>
    <mergeCell ref="E42:F42"/>
    <mergeCell ref="E43:G43"/>
    <mergeCell ref="B46:C46"/>
  </mergeCells>
  <conditionalFormatting sqref="C9:C15,C19:C29,D34:D35,D37:D41">
    <cfRule type="expression" priority="2" aboveAverage="0" equalAverage="0" bottom="0" percent="0" rank="0" text="" dxfId="0">
      <formula>LEN(TRIM(C9))=0</formula>
    </cfRule>
  </conditionalFormatting>
  <conditionalFormatting sqref="D43">
    <cfRule type="cellIs" priority="3" operator="greaterThan" aboveAverage="0" equalAverage="0" bottom="0" percent="0" rank="0" text="" dxfId="1">
      <formula>0</formula>
    </cfRule>
  </conditionalFormatting>
  <conditionalFormatting sqref="E43:G43">
    <cfRule type="containsText" priority="4" aboveAverage="0" equalAverage="0" bottom="0" percent="0" rank="0" text="fully" dxfId="2"/>
    <cfRule type="containsText" priority="5" aboveAverage="0" equalAverage="0" bottom="0" percent="0" rank="0" text="require" dxfId="3"/>
  </conditionalFormatting>
  <conditionalFormatting sqref="D10:D15">
    <cfRule type="cellIs" priority="6" operator="lessThan" aboveAverage="0" equalAverage="0" bottom="0" percent="0" rank="0" text="" dxfId="4">
      <formula>3</formula>
    </cfRule>
  </conditionalFormatting>
  <hyperlinks>
    <hyperlink ref="J38" location="'Amortization&amp;Depreciation'!A1" display="See Loan Amortization &amp; Depreciation Schedule"/>
  </hyperlinks>
  <printOptions headings="false" gridLines="false" gridLinesSet="true" horizontalCentered="true" verticalCentered="true"/>
  <pageMargins left="0.7" right="0.7"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MT,Regular"&amp;12Start-Up Expenses Year 1
(Starting Balance Sheet)</oddHeader>
    <oddFooter>&amp;L&amp;"Gill Sans MT,Regular"&amp;12&amp;F&amp;C&amp;"Gill Sans MT,Regular"&amp;12&amp;A&amp;R&amp;"Gill Sans MT,Regular"&amp;12&amp;D &amp;T</oddFooter>
  </headerFooter>
  <drawing r:id="rId1"/>
</worksheet>
</file>

<file path=xl/worksheets/sheet20.xml><?xml version="1.0" encoding="utf-8"?>
<worksheet xmlns="http://schemas.openxmlformats.org/spreadsheetml/2006/main" xmlns:r="http://schemas.openxmlformats.org/officeDocument/2006/relationships">
  <sheetPr filterMode="false">
    <pageSetUpPr fitToPage="false"/>
  </sheetPr>
  <dimension ref="A1:C5"/>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C6" activeCellId="0" sqref="C6"/>
    </sheetView>
  </sheetViews>
  <sheetFormatPr defaultRowHeight="14.4"/>
  <cols>
    <col collapsed="false" hidden="false" max="1" min="1" style="0" width="16.5546558704453"/>
    <col collapsed="false" hidden="false" max="2" min="2" style="0" width="14.4412955465587"/>
    <col collapsed="false" hidden="false" max="3" min="3" style="0" width="43.6599190283401"/>
    <col collapsed="false" hidden="false" max="1025" min="4" style="0" width="8.5748987854251"/>
  </cols>
  <sheetData>
    <row r="1" customFormat="false" ht="14.4" hidden="false" customHeight="false" outlineLevel="0" collapsed="false">
      <c r="A1" s="511" t="s">
        <v>358</v>
      </c>
      <c r="B1" s="511" t="s">
        <v>359</v>
      </c>
      <c r="C1" s="511" t="s">
        <v>13</v>
      </c>
    </row>
    <row r="2" customFormat="false" ht="57.6" hidden="false" customHeight="false" outlineLevel="0" collapsed="false">
      <c r="A2" s="512" t="n">
        <v>41446</v>
      </c>
      <c r="B2" s="0" t="s">
        <v>360</v>
      </c>
      <c r="C2" s="513" t="s">
        <v>361</v>
      </c>
    </row>
    <row r="3" customFormat="false" ht="72" hidden="false" customHeight="false" outlineLevel="0" collapsed="false">
      <c r="A3" s="512" t="n">
        <v>41469</v>
      </c>
      <c r="B3" s="514" t="s">
        <v>360</v>
      </c>
      <c r="C3" s="513" t="s">
        <v>362</v>
      </c>
    </row>
    <row r="4" customFormat="false" ht="109.5" hidden="false" customHeight="true" outlineLevel="0" collapsed="false">
      <c r="A4" s="512" t="n">
        <v>41752</v>
      </c>
      <c r="B4" s="0" t="s">
        <v>360</v>
      </c>
      <c r="C4" s="513" t="s">
        <v>363</v>
      </c>
    </row>
    <row r="5" customFormat="false" ht="72" hidden="false" customHeight="false" outlineLevel="0" collapsed="false">
      <c r="A5" s="512" t="n">
        <v>42320</v>
      </c>
      <c r="B5" s="0" t="s">
        <v>364</v>
      </c>
      <c r="C5" s="513" t="s">
        <v>365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tabColor rgb="FFFFC95B"/>
    <pageSetUpPr fitToPage="true"/>
  </sheetPr>
  <dimension ref="1:25"/>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H7" activeCellId="0" sqref="H7"/>
    </sheetView>
  </sheetViews>
  <sheetFormatPr defaultRowHeight="13.8"/>
  <cols>
    <col collapsed="false" hidden="false" max="1" min="1" style="93" width="30.3279352226721"/>
    <col collapsed="false" hidden="false" max="2" min="2" style="93" width="16.1093117408907"/>
    <col collapsed="false" hidden="false" max="3" min="3" style="93" width="14.331983805668"/>
    <col collapsed="false" hidden="false" max="4" min="4" style="93" width="12.331983805668"/>
    <col collapsed="false" hidden="false" max="5" min="5" style="93" width="16.004048582996"/>
    <col collapsed="false" hidden="false" max="6" min="6" style="93" width="9.66396761133603"/>
    <col collapsed="false" hidden="false" max="7" min="7" style="93" width="8"/>
    <col collapsed="false" hidden="false" max="14" min="8" style="93" width="9.66396761133603"/>
    <col collapsed="false" hidden="false" max="17" min="15" style="93" width="10.331983805668"/>
    <col collapsed="false" hidden="false" max="18" min="18" style="93" width="12.1133603238866"/>
    <col collapsed="false" hidden="false" max="1025" min="19" style="93" width="9.11336032388664"/>
  </cols>
  <sheetData>
    <row r="1" customFormat="false" ht="13.8" hidden="false" customHeight="false" outlineLevel="0" collapsed="false">
      <c r="A1" s="94"/>
      <c r="B1" s="94"/>
      <c r="C1" s="94"/>
      <c r="D1" s="94"/>
      <c r="E1" s="94"/>
      <c r="F1" s="94"/>
      <c r="G1" s="95"/>
      <c r="H1" s="95"/>
      <c r="I1" s="95"/>
      <c r="J1" s="96"/>
      <c r="K1" s="95"/>
      <c r="L1" s="95"/>
      <c r="M1" s="95"/>
      <c r="N1" s="95"/>
      <c r="O1" s="95"/>
      <c r="P1" s="95"/>
      <c r="Q1" s="95"/>
      <c r="R1" s="95"/>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0"/>
      <c r="B2" s="97" t="s">
        <v>62</v>
      </c>
      <c r="C2" s="98"/>
      <c r="D2" s="98"/>
      <c r="E2" s="98"/>
      <c r="F2" s="98"/>
      <c r="G2" s="95"/>
      <c r="H2" s="95"/>
      <c r="I2" s="95"/>
      <c r="J2" s="95"/>
      <c r="K2" s="95"/>
      <c r="L2" s="95"/>
      <c r="M2" s="95"/>
      <c r="N2" s="95"/>
      <c r="O2" s="95"/>
      <c r="P2" s="95"/>
      <c r="Q2" s="95"/>
      <c r="R2" s="95"/>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0"/>
      <c r="B3" s="99"/>
      <c r="C3" s="98"/>
      <c r="D3" s="98"/>
      <c r="E3" s="98"/>
      <c r="F3" s="98"/>
      <c r="G3" s="95"/>
      <c r="H3" s="95"/>
      <c r="I3" s="95"/>
      <c r="J3" s="95"/>
      <c r="K3" s="95"/>
      <c r="L3" s="95"/>
      <c r="M3" s="95"/>
      <c r="N3" s="95"/>
      <c r="O3" s="95"/>
      <c r="P3" s="95"/>
      <c r="Q3" s="95"/>
      <c r="R3" s="95"/>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8" hidden="false" customHeight="false" outlineLevel="0" collapsed="false">
      <c r="A4" s="0"/>
      <c r="B4" s="97" t="s">
        <v>8</v>
      </c>
      <c r="C4" s="100" t="s">
        <v>9</v>
      </c>
      <c r="D4" s="98"/>
      <c r="E4" s="98"/>
      <c r="F4" s="98"/>
      <c r="G4" s="95"/>
      <c r="H4" s="95"/>
      <c r="I4" s="95"/>
      <c r="J4" s="95"/>
      <c r="K4" s="95"/>
      <c r="L4" s="95"/>
      <c r="M4" s="95"/>
      <c r="N4" s="95"/>
      <c r="O4" s="95"/>
      <c r="P4" s="95"/>
      <c r="Q4" s="95"/>
      <c r="R4" s="95"/>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0"/>
      <c r="B5" s="101" t="str">
        <f aca="false">IF(ISBLANK(Directions!C6), "Owner", Directions!C6)</f>
        <v>Owner</v>
      </c>
      <c r="C5" s="96" t="str">
        <f aca="false">IF(ISBLANK(Directions!D6), "Company 1", Directions!D6)</f>
        <v>Company 1</v>
      </c>
      <c r="D5" s="98"/>
      <c r="E5" s="98"/>
      <c r="F5" s="98"/>
      <c r="G5" s="95"/>
      <c r="H5" s="95"/>
      <c r="I5" s="95"/>
      <c r="J5" s="95"/>
      <c r="K5" s="95"/>
      <c r="L5" s="95"/>
      <c r="M5" s="95"/>
      <c r="N5" s="95"/>
      <c r="O5" s="95"/>
      <c r="P5" s="95"/>
      <c r="Q5" s="95"/>
      <c r="R5" s="95"/>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0"/>
      <c r="B6" s="94"/>
      <c r="C6" s="94"/>
      <c r="D6" s="94"/>
      <c r="E6" s="94"/>
      <c r="F6" s="94"/>
      <c r="G6" s="102"/>
      <c r="H6" s="102"/>
      <c r="I6" s="102"/>
      <c r="J6" s="103"/>
      <c r="K6" s="102"/>
      <c r="L6" s="102"/>
      <c r="M6" s="102"/>
      <c r="N6" s="95"/>
      <c r="O6" s="95"/>
      <c r="P6" s="95"/>
      <c r="Q6" s="95"/>
      <c r="R6" s="95"/>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55.8" hidden="false" customHeight="false" outlineLevel="0" collapsed="false">
      <c r="A7" s="104" t="s">
        <v>63</v>
      </c>
      <c r="B7" s="104" t="s">
        <v>64</v>
      </c>
      <c r="C7" s="104" t="s">
        <v>65</v>
      </c>
      <c r="D7" s="104" t="s">
        <v>66</v>
      </c>
      <c r="E7" s="104" t="s">
        <v>67</v>
      </c>
      <c r="F7" s="105" t="str">
        <f aca="false">Directions!B34</f>
        <v>Month 1</v>
      </c>
      <c r="G7" s="105" t="str">
        <f aca="false">Directions!C34</f>
        <v>Month 2</v>
      </c>
      <c r="H7" s="105" t="str">
        <f aca="false">Directions!D34</f>
        <v>Month 3</v>
      </c>
      <c r="I7" s="105" t="str">
        <f aca="false">Directions!E34</f>
        <v>Month 4</v>
      </c>
      <c r="J7" s="105" t="str">
        <f aca="false">Directions!F34</f>
        <v>Month 5</v>
      </c>
      <c r="K7" s="105" t="str">
        <f aca="false">Directions!G34</f>
        <v>Month 6</v>
      </c>
      <c r="L7" s="105" t="str">
        <f aca="false">Directions!H34</f>
        <v>Month 7</v>
      </c>
      <c r="M7" s="105" t="str">
        <f aca="false">Directions!I34</f>
        <v>Month 8</v>
      </c>
      <c r="N7" s="105" t="str">
        <f aca="false">Directions!J34</f>
        <v>Month 9</v>
      </c>
      <c r="O7" s="105" t="str">
        <f aca="false">Directions!K34</f>
        <v>Month 10</v>
      </c>
      <c r="P7" s="105" t="str">
        <f aca="false">Directions!L34</f>
        <v>Month 11</v>
      </c>
      <c r="Q7" s="105" t="str">
        <f aca="false">Directions!M34</f>
        <v>Month 12</v>
      </c>
      <c r="R7" s="104" t="s">
        <v>68</v>
      </c>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106" t="s">
        <v>69</v>
      </c>
      <c r="B8" s="107"/>
      <c r="C8" s="108"/>
      <c r="D8" s="109"/>
      <c r="E8" s="110" t="n">
        <f aca="false">(C8*D8*B8)*52/12</f>
        <v>0</v>
      </c>
      <c r="F8" s="111" t="n">
        <f aca="false">E8</f>
        <v>0</v>
      </c>
      <c r="G8" s="111" t="n">
        <f aca="false">F8</f>
        <v>0</v>
      </c>
      <c r="H8" s="111" t="n">
        <f aca="false">G8</f>
        <v>0</v>
      </c>
      <c r="I8" s="111" t="n">
        <f aca="false">H8</f>
        <v>0</v>
      </c>
      <c r="J8" s="111" t="n">
        <f aca="false">I8</f>
        <v>0</v>
      </c>
      <c r="K8" s="111" t="n">
        <f aca="false">J8</f>
        <v>0</v>
      </c>
      <c r="L8" s="111" t="n">
        <f aca="false">K8</f>
        <v>0</v>
      </c>
      <c r="M8" s="111" t="n">
        <f aca="false">L8</f>
        <v>0</v>
      </c>
      <c r="N8" s="111" t="n">
        <f aca="false">M8</f>
        <v>0</v>
      </c>
      <c r="O8" s="111" t="n">
        <f aca="false">N8</f>
        <v>0</v>
      </c>
      <c r="P8" s="111" t="n">
        <f aca="false">O8</f>
        <v>0</v>
      </c>
      <c r="Q8" s="111" t="n">
        <f aca="false">P8</f>
        <v>0</v>
      </c>
      <c r="R8" s="112" t="n">
        <f aca="false">SUM(F8:Q8)</f>
        <v>0</v>
      </c>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113" t="s">
        <v>70</v>
      </c>
      <c r="B9" s="114"/>
      <c r="C9" s="115"/>
      <c r="D9" s="116"/>
      <c r="E9" s="117" t="n">
        <f aca="false">(C9*D9*B9)*52/12</f>
        <v>0</v>
      </c>
      <c r="F9" s="118" t="n">
        <f aca="false">E9</f>
        <v>0</v>
      </c>
      <c r="G9" s="118" t="n">
        <f aca="false">F9</f>
        <v>0</v>
      </c>
      <c r="H9" s="118" t="n">
        <f aca="false">G9</f>
        <v>0</v>
      </c>
      <c r="I9" s="118" t="n">
        <f aca="false">H9</f>
        <v>0</v>
      </c>
      <c r="J9" s="118" t="n">
        <f aca="false">I9</f>
        <v>0</v>
      </c>
      <c r="K9" s="118" t="n">
        <f aca="false">J9</f>
        <v>0</v>
      </c>
      <c r="L9" s="118" t="n">
        <f aca="false">K9</f>
        <v>0</v>
      </c>
      <c r="M9" s="118" t="n">
        <f aca="false">L9</f>
        <v>0</v>
      </c>
      <c r="N9" s="118" t="n">
        <f aca="false">M9</f>
        <v>0</v>
      </c>
      <c r="O9" s="118" t="n">
        <f aca="false">N9</f>
        <v>0</v>
      </c>
      <c r="P9" s="118" t="n">
        <f aca="false">O9</f>
        <v>0</v>
      </c>
      <c r="Q9" s="118" t="n">
        <f aca="false">P9</f>
        <v>0</v>
      </c>
      <c r="R9" s="119" t="n">
        <f aca="false">SUM(F9:Q9)</f>
        <v>0</v>
      </c>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113" t="s">
        <v>71</v>
      </c>
      <c r="B10" s="114"/>
      <c r="C10" s="115"/>
      <c r="D10" s="116"/>
      <c r="E10" s="117" t="n">
        <f aca="false">(C10*D10*B10)*52/12</f>
        <v>0</v>
      </c>
      <c r="F10" s="118" t="n">
        <f aca="false">E10</f>
        <v>0</v>
      </c>
      <c r="G10" s="118" t="n">
        <f aca="false">F10</f>
        <v>0</v>
      </c>
      <c r="H10" s="118" t="n">
        <f aca="false">G10</f>
        <v>0</v>
      </c>
      <c r="I10" s="118" t="n">
        <f aca="false">H10</f>
        <v>0</v>
      </c>
      <c r="J10" s="118" t="n">
        <f aca="false">I10</f>
        <v>0</v>
      </c>
      <c r="K10" s="118" t="n">
        <f aca="false">J10</f>
        <v>0</v>
      </c>
      <c r="L10" s="118" t="n">
        <f aca="false">K10</f>
        <v>0</v>
      </c>
      <c r="M10" s="118" t="n">
        <f aca="false">L10</f>
        <v>0</v>
      </c>
      <c r="N10" s="118" t="n">
        <f aca="false">M10</f>
        <v>0</v>
      </c>
      <c r="O10" s="118" t="n">
        <f aca="false">N10</f>
        <v>0</v>
      </c>
      <c r="P10" s="118" t="n">
        <f aca="false">O10</f>
        <v>0</v>
      </c>
      <c r="Q10" s="118" t="n">
        <f aca="false">P10</f>
        <v>0</v>
      </c>
      <c r="R10" s="119" t="n">
        <f aca="false">SUM(F10:Q10)</f>
        <v>0</v>
      </c>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113" t="s">
        <v>72</v>
      </c>
      <c r="B11" s="114"/>
      <c r="C11" s="115"/>
      <c r="D11" s="116"/>
      <c r="E11" s="117" t="n">
        <f aca="false">(C11*D11*B11)*52/12</f>
        <v>0</v>
      </c>
      <c r="F11" s="118" t="n">
        <f aca="false">E11</f>
        <v>0</v>
      </c>
      <c r="G11" s="118" t="n">
        <f aca="false">F11</f>
        <v>0</v>
      </c>
      <c r="H11" s="118" t="n">
        <f aca="false">G11</f>
        <v>0</v>
      </c>
      <c r="I11" s="118" t="n">
        <f aca="false">H11</f>
        <v>0</v>
      </c>
      <c r="J11" s="118" t="n">
        <f aca="false">I11</f>
        <v>0</v>
      </c>
      <c r="K11" s="118" t="n">
        <f aca="false">J11</f>
        <v>0</v>
      </c>
      <c r="L11" s="118" t="n">
        <f aca="false">K11</f>
        <v>0</v>
      </c>
      <c r="M11" s="118" t="n">
        <f aca="false">L11</f>
        <v>0</v>
      </c>
      <c r="N11" s="118" t="n">
        <f aca="false">M11</f>
        <v>0</v>
      </c>
      <c r="O11" s="118" t="n">
        <f aca="false">N11</f>
        <v>0</v>
      </c>
      <c r="P11" s="118" t="n">
        <f aca="false">O11</f>
        <v>0</v>
      </c>
      <c r="Q11" s="118" t="n">
        <f aca="false">P11</f>
        <v>0</v>
      </c>
      <c r="R11" s="119" t="n">
        <f aca="false">SUM(F11:Q11)</f>
        <v>0</v>
      </c>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120" t="s">
        <v>73</v>
      </c>
      <c r="B12" s="121" t="n">
        <f aca="false">SUM(B8:B11)</f>
        <v>0</v>
      </c>
      <c r="C12" s="122" t="n">
        <f aca="false">SUM(C8:C11)</f>
        <v>0</v>
      </c>
      <c r="D12" s="123" t="n">
        <f aca="false">SUM(D8:D11)</f>
        <v>0</v>
      </c>
      <c r="E12" s="117" t="n">
        <f aca="false">SUM(E8:E11)</f>
        <v>0</v>
      </c>
      <c r="F12" s="119" t="n">
        <f aca="false">SUM(F8:F11)</f>
        <v>0</v>
      </c>
      <c r="G12" s="119" t="n">
        <f aca="false">SUM(G8:G11)</f>
        <v>0</v>
      </c>
      <c r="H12" s="119" t="n">
        <f aca="false">SUM(H8:H11)</f>
        <v>0</v>
      </c>
      <c r="I12" s="119" t="n">
        <f aca="false">SUM(I8:I11)</f>
        <v>0</v>
      </c>
      <c r="J12" s="119" t="n">
        <f aca="false">SUM(J8:J11)</f>
        <v>0</v>
      </c>
      <c r="K12" s="119" t="n">
        <f aca="false">SUM(K8:K11)</f>
        <v>0</v>
      </c>
      <c r="L12" s="119" t="n">
        <f aca="false">SUM(L8:L11)</f>
        <v>0</v>
      </c>
      <c r="M12" s="119" t="n">
        <f aca="false">SUM(M8:M11)</f>
        <v>0</v>
      </c>
      <c r="N12" s="119" t="n">
        <f aca="false">SUM(N8:N11)</f>
        <v>0</v>
      </c>
      <c r="O12" s="119" t="n">
        <f aca="false">SUM(O8:O11)</f>
        <v>0</v>
      </c>
      <c r="P12" s="119" t="n">
        <f aca="false">SUM(P8:P11)</f>
        <v>0</v>
      </c>
      <c r="Q12" s="119" t="n">
        <f aca="false">SUM(Q8:Q11)</f>
        <v>0</v>
      </c>
      <c r="R12" s="119" t="n">
        <f aca="false">SUM(R8:R11)</f>
        <v>0</v>
      </c>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124"/>
      <c r="B13" s="124"/>
      <c r="C13" s="125"/>
      <c r="D13" s="126"/>
      <c r="E13" s="126"/>
      <c r="F13" s="126"/>
      <c r="G13" s="126"/>
      <c r="H13" s="126"/>
      <c r="I13" s="127"/>
      <c r="J13" s="127"/>
      <c r="K13" s="127"/>
      <c r="L13" s="127"/>
      <c r="M13" s="127"/>
      <c r="N13" s="127"/>
      <c r="O13" s="127"/>
      <c r="P13" s="127"/>
      <c r="Q13" s="127"/>
      <c r="R13" s="128"/>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42" hidden="false" customHeight="false" outlineLevel="0" collapsed="false">
      <c r="A14" s="104" t="s">
        <v>74</v>
      </c>
      <c r="B14" s="104" t="s">
        <v>75</v>
      </c>
      <c r="C14" s="104" t="s">
        <v>76</v>
      </c>
      <c r="D14" s="104"/>
      <c r="E14" s="104" t="s">
        <v>77</v>
      </c>
      <c r="F14" s="104" t="str">
        <f aca="false">'3a-SalesForecastYear1'!C16</f>
        <v>Month 1</v>
      </c>
      <c r="G14" s="104" t="str">
        <f aca="false">'3a-SalesForecastYear1'!D16</f>
        <v>Month 2</v>
      </c>
      <c r="H14" s="104" t="str">
        <f aca="false">'3a-SalesForecastYear1'!E16</f>
        <v>Month 3</v>
      </c>
      <c r="I14" s="104" t="str">
        <f aca="false">'3a-SalesForecastYear1'!F16</f>
        <v>Month 4</v>
      </c>
      <c r="J14" s="104" t="str">
        <f aca="false">'3a-SalesForecastYear1'!G16</f>
        <v>Month 5</v>
      </c>
      <c r="K14" s="104" t="str">
        <f aca="false">'3a-SalesForecastYear1'!H16</f>
        <v>Month 6</v>
      </c>
      <c r="L14" s="104" t="str">
        <f aca="false">'3a-SalesForecastYear1'!I16</f>
        <v>Month 7</v>
      </c>
      <c r="M14" s="104" t="str">
        <f aca="false">'3a-SalesForecastYear1'!J16</f>
        <v>Month 8</v>
      </c>
      <c r="N14" s="104" t="str">
        <f aca="false">'3a-SalesForecastYear1'!K16</f>
        <v>Month 9</v>
      </c>
      <c r="O14" s="104" t="str">
        <f aca="false">'3a-SalesForecastYear1'!L16</f>
        <v>Month 10</v>
      </c>
      <c r="P14" s="104" t="str">
        <f aca="false">'3a-SalesForecastYear1'!M16</f>
        <v>Month 11</v>
      </c>
      <c r="Q14" s="104" t="str">
        <f aca="false">'3a-SalesForecastYear1'!N16</f>
        <v>Month 12</v>
      </c>
      <c r="R14" s="104" t="str">
        <f aca="false">'3a-SalesForecastYear1'!O16</f>
        <v>Annual Totals</v>
      </c>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4.4" hidden="false" customHeight="false" outlineLevel="0" collapsed="false">
      <c r="A15" s="106" t="s">
        <v>78</v>
      </c>
      <c r="B15" s="110" t="n">
        <v>117000</v>
      </c>
      <c r="C15" s="129" t="n">
        <v>0.062</v>
      </c>
      <c r="D15" s="130"/>
      <c r="E15" s="131" t="n">
        <f aca="false">(E$8+E$9+E$10)*$C$15</f>
        <v>0</v>
      </c>
      <c r="F15" s="111" t="n">
        <f aca="false">(F$8+F$9+F$10)*$C$15</f>
        <v>0</v>
      </c>
      <c r="G15" s="111" t="n">
        <f aca="false">(G$8+G$9+G$10)*$C$15</f>
        <v>0</v>
      </c>
      <c r="H15" s="111" t="n">
        <f aca="false">(H$8+H$9+H$10)*$C$15</f>
        <v>0</v>
      </c>
      <c r="I15" s="111" t="n">
        <f aca="false">(I$8+I$9+I$10)*$C$15</f>
        <v>0</v>
      </c>
      <c r="J15" s="111" t="n">
        <f aca="false">(J$8+J$9+J$10)*$C$15</f>
        <v>0</v>
      </c>
      <c r="K15" s="111" t="n">
        <f aca="false">(K$8+K$9+K$10)*$C$15</f>
        <v>0</v>
      </c>
      <c r="L15" s="111" t="n">
        <f aca="false">(L$8+L$9+L$10)*$C$15</f>
        <v>0</v>
      </c>
      <c r="M15" s="111" t="n">
        <f aca="false">(M$8+M$9+M$10)*$C$15</f>
        <v>0</v>
      </c>
      <c r="N15" s="111" t="n">
        <f aca="false">(N$8+N$9+N$10)*$C$15</f>
        <v>0</v>
      </c>
      <c r="O15" s="111" t="n">
        <f aca="false">(O$8+O$9+O$10)*$C$15</f>
        <v>0</v>
      </c>
      <c r="P15" s="111" t="n">
        <f aca="false">(P$8+P$9+P$10)*$C$15</f>
        <v>0</v>
      </c>
      <c r="Q15" s="111" t="n">
        <f aca="false">(Q$8+Q$9+Q$10)*$C$15</f>
        <v>0</v>
      </c>
      <c r="R15" s="112" t="n">
        <f aca="false">SUM(F15:Q15)</f>
        <v>0</v>
      </c>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3.8" hidden="false" customHeight="false" outlineLevel="0" collapsed="false">
      <c r="A16" s="113" t="s">
        <v>79</v>
      </c>
      <c r="B16" s="132" t="s">
        <v>80</v>
      </c>
      <c r="C16" s="133" t="n">
        <v>0.0145</v>
      </c>
      <c r="D16" s="134"/>
      <c r="E16" s="135" t="n">
        <f aca="false">(E$8+E$9+E$10)*$C$16</f>
        <v>0</v>
      </c>
      <c r="F16" s="118" t="n">
        <f aca="false">(F$8+F$9+F$10)*$C$16</f>
        <v>0</v>
      </c>
      <c r="G16" s="118" t="n">
        <f aca="false">(G$8+G$9+G$10)*$C$16</f>
        <v>0</v>
      </c>
      <c r="H16" s="118" t="n">
        <f aca="false">(H$8+H$9+H$10)*$C$16</f>
        <v>0</v>
      </c>
      <c r="I16" s="118" t="n">
        <f aca="false">(I$8+I$9+I$10)*$C$16</f>
        <v>0</v>
      </c>
      <c r="J16" s="118" t="n">
        <f aca="false">(J$8+J$9+J$10)*$C$16</f>
        <v>0</v>
      </c>
      <c r="K16" s="118" t="n">
        <f aca="false">(K$8+K$9+K$10)*$C$16</f>
        <v>0</v>
      </c>
      <c r="L16" s="118" t="n">
        <f aca="false">(L$8+L$9+L$10)*$C$16</f>
        <v>0</v>
      </c>
      <c r="M16" s="118" t="n">
        <f aca="false">(M$8+M$9+M$10)*$C$16</f>
        <v>0</v>
      </c>
      <c r="N16" s="118" t="n">
        <f aca="false">(N$8+N$9+N$10)*$C$16</f>
        <v>0</v>
      </c>
      <c r="O16" s="118" t="n">
        <f aca="false">(O$8+O$9+O$10)*$C$16</f>
        <v>0</v>
      </c>
      <c r="P16" s="118" t="n">
        <f aca="false">(P$8+P$9+P$10)*$C$16</f>
        <v>0</v>
      </c>
      <c r="Q16" s="118" t="n">
        <f aca="false">(Q$8+Q$9+Q$10)*$C$16</f>
        <v>0</v>
      </c>
      <c r="R16" s="119" t="n">
        <f aca="false">SUM(F16:Q16)</f>
        <v>0</v>
      </c>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8" hidden="false" customHeight="false" outlineLevel="0" collapsed="false">
      <c r="A17" s="113" t="s">
        <v>81</v>
      </c>
      <c r="B17" s="136" t="n">
        <v>7000</v>
      </c>
      <c r="C17" s="133" t="n">
        <v>0.006</v>
      </c>
      <c r="D17" s="134"/>
      <c r="E17" s="135" t="n">
        <f aca="false">+$B$12*B17*C17/12</f>
        <v>0</v>
      </c>
      <c r="F17" s="118" t="n">
        <f aca="false">E17</f>
        <v>0</v>
      </c>
      <c r="G17" s="118" t="n">
        <f aca="false">F17</f>
        <v>0</v>
      </c>
      <c r="H17" s="118" t="n">
        <f aca="false">G17</f>
        <v>0</v>
      </c>
      <c r="I17" s="118" t="n">
        <f aca="false">H17</f>
        <v>0</v>
      </c>
      <c r="J17" s="118" t="n">
        <f aca="false">I17</f>
        <v>0</v>
      </c>
      <c r="K17" s="118" t="n">
        <f aca="false">J17</f>
        <v>0</v>
      </c>
      <c r="L17" s="118" t="n">
        <f aca="false">K17</f>
        <v>0</v>
      </c>
      <c r="M17" s="118" t="n">
        <f aca="false">L17</f>
        <v>0</v>
      </c>
      <c r="N17" s="118" t="n">
        <f aca="false">M17</f>
        <v>0</v>
      </c>
      <c r="O17" s="118" t="n">
        <f aca="false">N17</f>
        <v>0</v>
      </c>
      <c r="P17" s="118" t="n">
        <f aca="false">O17</f>
        <v>0</v>
      </c>
      <c r="Q17" s="118" t="n">
        <f aca="false">P17</f>
        <v>0</v>
      </c>
      <c r="R17" s="119" t="n">
        <f aca="false">SUM(F17:Q17)</f>
        <v>0</v>
      </c>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8" hidden="false" customHeight="false" outlineLevel="0" collapsed="false">
      <c r="A18" s="113" t="s">
        <v>82</v>
      </c>
      <c r="B18" s="136" t="n">
        <v>7000</v>
      </c>
      <c r="C18" s="133" t="n">
        <v>0.0345</v>
      </c>
      <c r="D18" s="134"/>
      <c r="E18" s="135" t="n">
        <f aca="false">+$B$12*B18*C18/12</f>
        <v>0</v>
      </c>
      <c r="F18" s="118" t="n">
        <f aca="false">E18</f>
        <v>0</v>
      </c>
      <c r="G18" s="118" t="n">
        <f aca="false">F18</f>
        <v>0</v>
      </c>
      <c r="H18" s="118" t="n">
        <f aca="false">G18</f>
        <v>0</v>
      </c>
      <c r="I18" s="118" t="n">
        <f aca="false">H18</f>
        <v>0</v>
      </c>
      <c r="J18" s="118" t="n">
        <f aca="false">I18</f>
        <v>0</v>
      </c>
      <c r="K18" s="118" t="n">
        <f aca="false">J18</f>
        <v>0</v>
      </c>
      <c r="L18" s="118" t="n">
        <f aca="false">K18</f>
        <v>0</v>
      </c>
      <c r="M18" s="118" t="n">
        <f aca="false">L18</f>
        <v>0</v>
      </c>
      <c r="N18" s="118" t="n">
        <f aca="false">M18</f>
        <v>0</v>
      </c>
      <c r="O18" s="118" t="n">
        <f aca="false">N18</f>
        <v>0</v>
      </c>
      <c r="P18" s="118" t="n">
        <f aca="false">O18</f>
        <v>0</v>
      </c>
      <c r="Q18" s="118" t="n">
        <f aca="false">P18</f>
        <v>0</v>
      </c>
      <c r="R18" s="119" t="n">
        <f aca="false">SUM(F18:Q18)</f>
        <v>0</v>
      </c>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113" t="s">
        <v>83</v>
      </c>
      <c r="B19" s="132" t="s">
        <v>80</v>
      </c>
      <c r="C19" s="133" t="n">
        <v>0</v>
      </c>
      <c r="D19" s="134"/>
      <c r="E19" s="135" t="n">
        <f aca="false">($E$8+$E$9+$E$10)*C19</f>
        <v>0</v>
      </c>
      <c r="F19" s="118" t="n">
        <f aca="false">E19</f>
        <v>0</v>
      </c>
      <c r="G19" s="118" t="n">
        <f aca="false">F19</f>
        <v>0</v>
      </c>
      <c r="H19" s="118" t="n">
        <f aca="false">G19</f>
        <v>0</v>
      </c>
      <c r="I19" s="118" t="n">
        <f aca="false">H19</f>
        <v>0</v>
      </c>
      <c r="J19" s="118" t="n">
        <f aca="false">I19</f>
        <v>0</v>
      </c>
      <c r="K19" s="118" t="n">
        <f aca="false">J19</f>
        <v>0</v>
      </c>
      <c r="L19" s="118" t="n">
        <f aca="false">K19</f>
        <v>0</v>
      </c>
      <c r="M19" s="118" t="n">
        <f aca="false">L19</f>
        <v>0</v>
      </c>
      <c r="N19" s="118" t="n">
        <f aca="false">M19</f>
        <v>0</v>
      </c>
      <c r="O19" s="118" t="n">
        <f aca="false">N19</f>
        <v>0</v>
      </c>
      <c r="P19" s="118" t="n">
        <f aca="false">O19</f>
        <v>0</v>
      </c>
      <c r="Q19" s="118" t="n">
        <f aca="false">P19</f>
        <v>0</v>
      </c>
      <c r="R19" s="119" t="n">
        <f aca="false">SUM(F19:Q19)</f>
        <v>0</v>
      </c>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113" t="s">
        <v>84</v>
      </c>
      <c r="B20" s="132" t="s">
        <v>80</v>
      </c>
      <c r="C20" s="133" t="n">
        <v>0</v>
      </c>
      <c r="D20" s="137"/>
      <c r="E20" s="135" t="n">
        <f aca="false">($E$8+$E$9+$E$10)*C20</f>
        <v>0</v>
      </c>
      <c r="F20" s="118" t="n">
        <f aca="false">E20</f>
        <v>0</v>
      </c>
      <c r="G20" s="118" t="n">
        <f aca="false">F20</f>
        <v>0</v>
      </c>
      <c r="H20" s="118" t="n">
        <f aca="false">G20</f>
        <v>0</v>
      </c>
      <c r="I20" s="118" t="n">
        <f aca="false">H20</f>
        <v>0</v>
      </c>
      <c r="J20" s="118" t="n">
        <f aca="false">I20</f>
        <v>0</v>
      </c>
      <c r="K20" s="118" t="n">
        <f aca="false">J20</f>
        <v>0</v>
      </c>
      <c r="L20" s="118" t="n">
        <f aca="false">K20</f>
        <v>0</v>
      </c>
      <c r="M20" s="118" t="n">
        <f aca="false">L20</f>
        <v>0</v>
      </c>
      <c r="N20" s="118" t="n">
        <f aca="false">M20</f>
        <v>0</v>
      </c>
      <c r="O20" s="118" t="n">
        <f aca="false">N20</f>
        <v>0</v>
      </c>
      <c r="P20" s="118" t="n">
        <f aca="false">O20</f>
        <v>0</v>
      </c>
      <c r="Q20" s="118" t="n">
        <f aca="false">P20</f>
        <v>0</v>
      </c>
      <c r="R20" s="119" t="n">
        <f aca="false">SUM(F20:Q20)</f>
        <v>0</v>
      </c>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3.8" hidden="false" customHeight="false" outlineLevel="0" collapsed="false">
      <c r="A21" s="113" t="s">
        <v>85</v>
      </c>
      <c r="B21" s="132" t="s">
        <v>80</v>
      </c>
      <c r="C21" s="133" t="n">
        <v>0</v>
      </c>
      <c r="D21" s="137"/>
      <c r="E21" s="135" t="n">
        <f aca="false">($E$8+$E$9+$E$10)*C21</f>
        <v>0</v>
      </c>
      <c r="F21" s="118" t="n">
        <f aca="false">E21</f>
        <v>0</v>
      </c>
      <c r="G21" s="118" t="n">
        <f aca="false">F21</f>
        <v>0</v>
      </c>
      <c r="H21" s="118" t="n">
        <f aca="false">G21</f>
        <v>0</v>
      </c>
      <c r="I21" s="118" t="n">
        <f aca="false">H21</f>
        <v>0</v>
      </c>
      <c r="J21" s="118" t="n">
        <f aca="false">I21</f>
        <v>0</v>
      </c>
      <c r="K21" s="118" t="n">
        <f aca="false">J21</f>
        <v>0</v>
      </c>
      <c r="L21" s="118" t="n">
        <f aca="false">K21</f>
        <v>0</v>
      </c>
      <c r="M21" s="118" t="n">
        <f aca="false">L21</f>
        <v>0</v>
      </c>
      <c r="N21" s="118" t="n">
        <f aca="false">M21</f>
        <v>0</v>
      </c>
      <c r="O21" s="118" t="n">
        <f aca="false">N21</f>
        <v>0</v>
      </c>
      <c r="P21" s="118" t="n">
        <f aca="false">O21</f>
        <v>0</v>
      </c>
      <c r="Q21" s="118" t="n">
        <f aca="false">P21</f>
        <v>0</v>
      </c>
      <c r="R21" s="119" t="n">
        <f aca="false">SUM(F21:Q21)</f>
        <v>0</v>
      </c>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3.8" hidden="false" customHeight="false" outlineLevel="0" collapsed="false">
      <c r="A22" s="113" t="s">
        <v>86</v>
      </c>
      <c r="B22" s="132" t="s">
        <v>80</v>
      </c>
      <c r="C22" s="133" t="n">
        <v>0</v>
      </c>
      <c r="D22" s="137"/>
      <c r="E22" s="135" t="n">
        <f aca="false">($E$8+$E$9+$E$10)*C22</f>
        <v>0</v>
      </c>
      <c r="F22" s="118" t="n">
        <f aca="false">E22</f>
        <v>0</v>
      </c>
      <c r="G22" s="118" t="n">
        <f aca="false">F22</f>
        <v>0</v>
      </c>
      <c r="H22" s="118" t="n">
        <f aca="false">G22</f>
        <v>0</v>
      </c>
      <c r="I22" s="118" t="n">
        <f aca="false">H22</f>
        <v>0</v>
      </c>
      <c r="J22" s="118" t="n">
        <f aca="false">I22</f>
        <v>0</v>
      </c>
      <c r="K22" s="118" t="n">
        <f aca="false">J22</f>
        <v>0</v>
      </c>
      <c r="L22" s="118" t="n">
        <f aca="false">K22</f>
        <v>0</v>
      </c>
      <c r="M22" s="118" t="n">
        <f aca="false">L22</f>
        <v>0</v>
      </c>
      <c r="N22" s="118" t="n">
        <f aca="false">M22</f>
        <v>0</v>
      </c>
      <c r="O22" s="118" t="n">
        <f aca="false">N22</f>
        <v>0</v>
      </c>
      <c r="P22" s="118" t="n">
        <f aca="false">O22</f>
        <v>0</v>
      </c>
      <c r="Q22" s="118" t="n">
        <f aca="false">P22</f>
        <v>0</v>
      </c>
      <c r="R22" s="119" t="n">
        <f aca="false">SUM(F22:Q22)</f>
        <v>0</v>
      </c>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120" t="s">
        <v>87</v>
      </c>
      <c r="B23" s="120"/>
      <c r="C23" s="138" t="n">
        <f aca="false">SUM(C15:C22)</f>
        <v>0.117</v>
      </c>
      <c r="D23" s="113"/>
      <c r="E23" s="117" t="n">
        <f aca="false">SUM(E15:E22)</f>
        <v>0</v>
      </c>
      <c r="F23" s="117" t="n">
        <f aca="false">SUM(F15:F22)</f>
        <v>0</v>
      </c>
      <c r="G23" s="117" t="n">
        <f aca="false">SUM(G15:G22)</f>
        <v>0</v>
      </c>
      <c r="H23" s="117" t="n">
        <f aca="false">SUM(H15:H22)</f>
        <v>0</v>
      </c>
      <c r="I23" s="117" t="n">
        <f aca="false">SUM(I15:I22)</f>
        <v>0</v>
      </c>
      <c r="J23" s="117" t="n">
        <f aca="false">SUM(J15:J22)</f>
        <v>0</v>
      </c>
      <c r="K23" s="117" t="n">
        <f aca="false">SUM(K15:K22)</f>
        <v>0</v>
      </c>
      <c r="L23" s="117" t="n">
        <f aca="false">SUM(L15:L22)</f>
        <v>0</v>
      </c>
      <c r="M23" s="117" t="n">
        <f aca="false">SUM(M15:M22)</f>
        <v>0</v>
      </c>
      <c r="N23" s="117" t="n">
        <f aca="false">SUM(N15:N22)</f>
        <v>0</v>
      </c>
      <c r="O23" s="117" t="n">
        <f aca="false">SUM(O15:O22)</f>
        <v>0</v>
      </c>
      <c r="P23" s="117" t="n">
        <f aca="false">SUM(P15:P22)</f>
        <v>0</v>
      </c>
      <c r="Q23" s="117" t="n">
        <f aca="false">SUM(Q15:Q22)</f>
        <v>0</v>
      </c>
      <c r="R23" s="117" t="n">
        <f aca="false">SUM(R15:R22)</f>
        <v>0</v>
      </c>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3.8" hidden="false" customHeight="false" outlineLevel="0" collapsed="false">
      <c r="A24" s="120"/>
      <c r="B24" s="120"/>
      <c r="C24" s="139"/>
      <c r="D24" s="113"/>
      <c r="E24" s="113"/>
      <c r="F24" s="113"/>
      <c r="G24" s="113"/>
      <c r="H24" s="113"/>
      <c r="I24" s="113"/>
      <c r="J24" s="113"/>
      <c r="K24" s="113"/>
      <c r="L24" s="113"/>
      <c r="M24" s="113"/>
      <c r="N24" s="113"/>
      <c r="O24" s="113"/>
      <c r="P24" s="113"/>
      <c r="Q24" s="113"/>
      <c r="R24" s="113"/>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8" hidden="false" customHeight="false" outlineLevel="0" collapsed="false">
      <c r="A25" s="120" t="s">
        <v>88</v>
      </c>
      <c r="B25" s="120"/>
      <c r="C25" s="139"/>
      <c r="D25" s="113"/>
      <c r="E25" s="117" t="n">
        <f aca="false">E12+E23</f>
        <v>0</v>
      </c>
      <c r="F25" s="117" t="n">
        <f aca="false">F12+F23</f>
        <v>0</v>
      </c>
      <c r="G25" s="117" t="n">
        <f aca="false">G12+G23</f>
        <v>0</v>
      </c>
      <c r="H25" s="117" t="n">
        <f aca="false">H12+H23</f>
        <v>0</v>
      </c>
      <c r="I25" s="117" t="n">
        <f aca="false">I12+I23</f>
        <v>0</v>
      </c>
      <c r="J25" s="117" t="n">
        <f aca="false">J12+J23</f>
        <v>0</v>
      </c>
      <c r="K25" s="117" t="n">
        <f aca="false">K12+K23</f>
        <v>0</v>
      </c>
      <c r="L25" s="117" t="n">
        <f aca="false">L12+L23</f>
        <v>0</v>
      </c>
      <c r="M25" s="117" t="n">
        <f aca="false">M12+M23</f>
        <v>0</v>
      </c>
      <c r="N25" s="117" t="n">
        <f aca="false">N12+N23</f>
        <v>0</v>
      </c>
      <c r="O25" s="117" t="n">
        <f aca="false">O12+O23</f>
        <v>0</v>
      </c>
      <c r="P25" s="117" t="n">
        <f aca="false">P12+P23</f>
        <v>0</v>
      </c>
      <c r="Q25" s="117" t="n">
        <f aca="false">Q12+Q23</f>
        <v>0</v>
      </c>
      <c r="R25" s="140" t="n">
        <f aca="false">R12+R23</f>
        <v>0</v>
      </c>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sheetData>
  <conditionalFormatting sqref="B8:D11">
    <cfRule type="expression" priority="2" aboveAverage="0" equalAverage="0" bottom="0" percent="0" rank="0" text="" dxfId="0">
      <formula>LEN(TRIM(B8))=0</formula>
    </cfRule>
  </conditionalFormatting>
  <conditionalFormatting sqref="F8:Q11">
    <cfRule type="expression" priority="3" aboveAverage="0" equalAverage="0" bottom="0" percent="0" rank="0" text="" dxfId="1">
      <formula>LEN(TRIM(F8))=0</formula>
    </cfRule>
  </conditionalFormatting>
  <conditionalFormatting sqref="F15:Q22">
    <cfRule type="expression" priority="4" aboveAverage="0" equalAverage="0" bottom="0" percent="0" rank="0" text="" dxfId="2">
      <formula>LEN(TRIM(F15))=0</formula>
    </cfRule>
  </conditionalFormatting>
  <conditionalFormatting sqref="F16:Q16">
    <cfRule type="expression" priority="5" aboveAverage="0" equalAverage="0" bottom="0" percent="0" rank="0" text="" dxfId="3">
      <formula>LEN(TRIM(F16))=0</formula>
    </cfRule>
  </conditionalFormatting>
  <conditionalFormatting sqref="F15:Q15">
    <cfRule type="expression" priority="6" aboveAverage="0" equalAverage="0" bottom="0" percent="0" rank="0" text="" dxfId="4">
      <formula>LEN(TRIM(F15))=0</formula>
    </cfRule>
  </conditionalFormatting>
  <conditionalFormatting sqref="F16">
    <cfRule type="expression" priority="7" aboveAverage="0" equalAverage="0" bottom="0" percent="0" rank="0" text="" dxfId="5">
      <formula>LEN(TRIM(F16))=0</formula>
    </cfRule>
  </conditionalFormatting>
  <conditionalFormatting sqref="G16:Q16">
    <cfRule type="expression" priority="8" aboveAverage="0" equalAverage="0" bottom="0" percent="0" rank="0" text="" dxfId="6">
      <formula>LEN(TRIM(G16))=0</formula>
    </cfRule>
  </conditionalFormatting>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MT,Regular"&amp;12Payroll Year 1</oddHeader>
    <oddFooter>&amp;L&amp;"Gill Sans MT,Regular"&amp;12&amp;F&amp;C&amp;"Gill Sans MT,Regular"&amp;12&amp;A&amp;R&amp;"Gill Sans MT,Regular"&amp;12&amp;D &amp;T</oddFooter>
  </headerFooter>
  <legacyDrawing r:id="rId2"/>
</worksheet>
</file>

<file path=xl/worksheets/sheet4.xml><?xml version="1.0" encoding="utf-8"?>
<worksheet xmlns="http://schemas.openxmlformats.org/spreadsheetml/2006/main" xmlns:r="http://schemas.openxmlformats.org/officeDocument/2006/relationships">
  <sheetPr filterMode="false">
    <pageSetUpPr fitToPage="true"/>
  </sheetPr>
  <dimension ref="A1:AC27"/>
  <sheetViews>
    <sheetView windowProtection="false"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L33" activeCellId="0" sqref="L33"/>
    </sheetView>
  </sheetViews>
  <sheetFormatPr defaultRowHeight="12.8"/>
  <cols>
    <col collapsed="false" hidden="false" max="1" min="1" style="96" width="7"/>
    <col collapsed="false" hidden="false" max="2" min="2" style="96" width="38"/>
    <col collapsed="false" hidden="false" max="3" min="3" style="96" width="11.331983805668"/>
    <col collapsed="false" hidden="false" max="4" min="4" style="96" width="15.6599190283401"/>
    <col collapsed="false" hidden="false" max="5" min="5" style="96" width="10.6599190283401"/>
    <col collapsed="false" hidden="false" max="6" min="6" style="96" width="15.6599190283401"/>
    <col collapsed="false" hidden="false" max="7" min="7" style="96" width="9.4412955465587"/>
    <col collapsed="false" hidden="false" max="8" min="8" style="96" width="5.10526315789474"/>
    <col collapsed="false" hidden="false" max="9" min="9" style="96" width="5.4412955465587"/>
    <col collapsed="false" hidden="false" max="10" min="10" style="96" width="4.66396761133603"/>
    <col collapsed="false" hidden="false" max="11" min="11" style="96" width="8.11336032388664"/>
    <col collapsed="false" hidden="false" max="12" min="12" style="96" width="12.1133603238866"/>
    <col collapsed="false" hidden="false" max="13" min="13" style="96" width="9.55465587044534"/>
    <col collapsed="false" hidden="false" max="14" min="14" style="96" width="11.8906882591093"/>
    <col collapsed="false" hidden="false" max="15" min="15" style="96" width="11.5546558704453"/>
    <col collapsed="false" hidden="false" max="16" min="16" style="96" width="14.4412955465587"/>
    <col collapsed="false" hidden="false" max="17" min="17" style="96" width="8.66396761133603"/>
    <col collapsed="false" hidden="false" max="18" min="18" style="96" width="10.331983805668"/>
    <col collapsed="false" hidden="false" max="19" min="19" style="96" width="7.4412955465587"/>
    <col collapsed="false" hidden="false" max="20" min="20" style="96" width="6.10526315789474"/>
    <col collapsed="false" hidden="false" max="21" min="21" style="96" width="5.10526315789474"/>
    <col collapsed="false" hidden="false" max="22" min="22" style="96" width="5.4412955465587"/>
    <col collapsed="false" hidden="false" max="23" min="23" style="96" width="4.66396761133603"/>
    <col collapsed="false" hidden="false" max="24" min="24" style="96" width="8.11336032388664"/>
    <col collapsed="false" hidden="false" max="25" min="25" style="96" width="12.1133603238866"/>
    <col collapsed="false" hidden="false" max="26" min="26" style="96" width="9.55465587044534"/>
    <col collapsed="false" hidden="false" max="27" min="27" style="96" width="11.8906882591093"/>
    <col collapsed="false" hidden="false" max="28" min="28" style="96" width="11.5546558704453"/>
    <col collapsed="false" hidden="false" max="29" min="29" style="96" width="14.4412955465587"/>
    <col collapsed="false" hidden="false" max="1025" min="30" style="96" width="9.11336032388664"/>
  </cols>
  <sheetData>
    <row r="1" customFormat="false" ht="13.8" hidden="false" customHeight="fals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row>
    <row r="2" customFormat="false" ht="13.8" hidden="false" customHeight="false" outlineLevel="0" collapsed="false">
      <c r="A2" s="0"/>
      <c r="B2" s="97" t="s">
        <v>89</v>
      </c>
      <c r="C2" s="98"/>
      <c r="D2" s="99"/>
      <c r="E2" s="98"/>
      <c r="F2" s="99"/>
      <c r="G2" s="98"/>
      <c r="H2" s="0"/>
      <c r="I2" s="0"/>
      <c r="J2" s="0"/>
      <c r="K2" s="0"/>
      <c r="L2" s="0"/>
      <c r="M2" s="0"/>
      <c r="N2" s="0"/>
      <c r="O2" s="0"/>
      <c r="P2" s="0"/>
      <c r="Q2" s="0"/>
      <c r="R2" s="0"/>
      <c r="S2" s="0"/>
      <c r="T2" s="0"/>
      <c r="U2" s="0"/>
      <c r="V2" s="0"/>
      <c r="W2" s="0"/>
      <c r="X2" s="0"/>
      <c r="Y2" s="0"/>
      <c r="Z2" s="0"/>
      <c r="AA2" s="0"/>
      <c r="AB2" s="0"/>
      <c r="AC2" s="0"/>
    </row>
    <row r="3" customFormat="false" ht="13.8" hidden="false" customHeight="false" outlineLevel="0" collapsed="false">
      <c r="A3" s="0"/>
      <c r="B3" s="99"/>
      <c r="C3" s="98"/>
      <c r="D3" s="99"/>
      <c r="E3" s="0"/>
      <c r="F3" s="0"/>
      <c r="G3" s="0"/>
      <c r="H3" s="0"/>
      <c r="I3" s="0"/>
      <c r="J3" s="0"/>
      <c r="K3" s="0"/>
      <c r="L3" s="0"/>
      <c r="M3" s="0"/>
      <c r="N3" s="0"/>
      <c r="O3" s="0"/>
      <c r="P3" s="0"/>
      <c r="Q3" s="0"/>
      <c r="R3" s="0"/>
      <c r="S3" s="0"/>
      <c r="T3" s="0"/>
      <c r="U3" s="0"/>
      <c r="V3" s="0"/>
      <c r="W3" s="0"/>
      <c r="X3" s="0"/>
      <c r="Y3" s="0"/>
      <c r="Z3" s="0"/>
      <c r="AA3" s="0"/>
      <c r="AB3" s="0"/>
      <c r="AC3" s="0"/>
    </row>
    <row r="4" customFormat="false" ht="13.8" hidden="false" customHeight="false" outlineLevel="0" collapsed="false">
      <c r="A4" s="141"/>
      <c r="B4" s="100" t="s">
        <v>8</v>
      </c>
      <c r="C4" s="100" t="s">
        <v>9</v>
      </c>
      <c r="D4" s="100"/>
      <c r="E4" s="141"/>
      <c r="F4" s="141"/>
      <c r="G4" s="141"/>
      <c r="H4" s="141"/>
      <c r="I4" s="141"/>
      <c r="J4" s="141"/>
      <c r="K4" s="141"/>
      <c r="L4" s="141"/>
      <c r="M4" s="141"/>
      <c r="N4" s="141"/>
      <c r="O4" s="141"/>
      <c r="P4" s="141"/>
      <c r="Q4" s="141"/>
      <c r="R4" s="141"/>
      <c r="S4" s="141"/>
      <c r="T4" s="141"/>
      <c r="U4" s="141"/>
      <c r="V4" s="141"/>
      <c r="W4" s="141"/>
      <c r="X4" s="141"/>
      <c r="Y4" s="141"/>
      <c r="Z4" s="0"/>
      <c r="AA4" s="0"/>
      <c r="AB4" s="0"/>
      <c r="AC4" s="0"/>
    </row>
    <row r="5" customFormat="false" ht="12.8" hidden="false" customHeight="false" outlineLevel="0" collapsed="false">
      <c r="A5" s="103"/>
      <c r="B5" s="101" t="str">
        <f aca="false">IF(ISBLANK(Directions!C6), "Owner", Directions!C6)</f>
        <v>Owner</v>
      </c>
      <c r="C5" s="142" t="str">
        <f aca="false">IF(ISBLANK(Directions!D6), "Company 1", Directions!D6)</f>
        <v>Company 1</v>
      </c>
      <c r="D5" s="142"/>
      <c r="E5" s="142"/>
      <c r="F5" s="143"/>
      <c r="G5" s="142"/>
      <c r="H5" s="144"/>
      <c r="I5" s="144"/>
      <c r="J5" s="144"/>
      <c r="K5" s="144"/>
      <c r="L5" s="144"/>
      <c r="M5" s="144"/>
      <c r="N5" s="144"/>
      <c r="O5" s="144"/>
      <c r="P5" s="145"/>
      <c r="Q5" s="144"/>
      <c r="R5" s="144"/>
      <c r="S5" s="144"/>
      <c r="T5" s="144"/>
      <c r="U5" s="144"/>
      <c r="V5" s="144"/>
      <c r="W5" s="144"/>
      <c r="X5" s="144"/>
      <c r="Y5" s="144"/>
      <c r="Z5" s="144"/>
      <c r="AA5" s="144"/>
      <c r="AB5" s="144"/>
      <c r="AC5" s="145"/>
    </row>
    <row r="6" customFormat="false" ht="13.8" hidden="false" customHeight="false" outlineLevel="0" collapsed="false">
      <c r="A6" s="103"/>
      <c r="B6" s="0"/>
      <c r="C6" s="0"/>
      <c r="D6" s="0"/>
      <c r="E6" s="0"/>
      <c r="F6" s="0"/>
      <c r="G6" s="0"/>
      <c r="H6" s="144"/>
      <c r="I6" s="144"/>
      <c r="J6" s="144"/>
      <c r="K6" s="144"/>
      <c r="L6" s="144"/>
      <c r="M6" s="144"/>
      <c r="N6" s="144"/>
      <c r="O6" s="144"/>
      <c r="P6" s="145"/>
      <c r="Q6" s="144"/>
      <c r="R6" s="144"/>
      <c r="S6" s="144"/>
      <c r="T6" s="144"/>
      <c r="U6" s="144"/>
      <c r="V6" s="144"/>
      <c r="W6" s="144"/>
      <c r="X6" s="144"/>
      <c r="Y6" s="144"/>
      <c r="Z6" s="144"/>
      <c r="AA6" s="144"/>
      <c r="AB6" s="144"/>
      <c r="AC6" s="145"/>
    </row>
    <row r="7" customFormat="false" ht="13.8" hidden="false" customHeight="false" outlineLevel="0" collapsed="false">
      <c r="A7" s="103"/>
      <c r="B7" s="0"/>
      <c r="C7" s="0"/>
      <c r="D7" s="0"/>
      <c r="E7" s="0"/>
      <c r="F7" s="0"/>
      <c r="G7" s="0"/>
      <c r="H7" s="144"/>
      <c r="I7" s="144"/>
      <c r="J7" s="144"/>
      <c r="K7" s="144"/>
      <c r="L7" s="144"/>
      <c r="M7" s="144"/>
      <c r="N7" s="144"/>
      <c r="O7" s="144"/>
      <c r="P7" s="145"/>
      <c r="Q7" s="144"/>
      <c r="R7" s="144"/>
      <c r="S7" s="144"/>
      <c r="T7" s="144"/>
      <c r="U7" s="144"/>
      <c r="V7" s="144"/>
      <c r="W7" s="144"/>
      <c r="X7" s="144"/>
      <c r="Y7" s="144"/>
      <c r="Z7" s="144"/>
      <c r="AA7" s="144"/>
      <c r="AB7" s="144"/>
      <c r="AC7" s="145"/>
    </row>
    <row r="8" customFormat="false" ht="19.95" hidden="false" customHeight="true" outlineLevel="0" collapsed="false">
      <c r="A8" s="103"/>
      <c r="B8" s="104" t="s">
        <v>63</v>
      </c>
      <c r="C8" s="104" t="s">
        <v>90</v>
      </c>
      <c r="D8" s="104" t="s">
        <v>91</v>
      </c>
      <c r="E8" s="104" t="str">
        <f aca="false">IF(Directions!G3&gt;0,Directions!G3+1,"Second Year")</f>
        <v>Second Year</v>
      </c>
      <c r="F8" s="104" t="s">
        <v>92</v>
      </c>
      <c r="G8" s="104" t="str">
        <f aca="false">IF(Directions!G3&gt;0,Directions!G3+2,"Third Year")</f>
        <v>Third Year</v>
      </c>
      <c r="H8" s="144"/>
      <c r="I8" s="144"/>
      <c r="J8" s="144"/>
      <c r="K8" s="144"/>
      <c r="L8" s="144"/>
      <c r="M8" s="144"/>
      <c r="N8" s="144"/>
      <c r="O8" s="144"/>
      <c r="P8" s="145"/>
      <c r="Q8" s="144"/>
      <c r="R8" s="144"/>
      <c r="S8" s="144"/>
      <c r="T8" s="144"/>
      <c r="U8" s="144"/>
      <c r="V8" s="144"/>
      <c r="W8" s="144"/>
      <c r="X8" s="144"/>
      <c r="Y8" s="144"/>
      <c r="Z8" s="144"/>
      <c r="AA8" s="144"/>
      <c r="AB8" s="144"/>
      <c r="AC8" s="145"/>
    </row>
    <row r="9" customFormat="false" ht="12.8" hidden="false" customHeight="false" outlineLevel="0" collapsed="false">
      <c r="A9" s="146"/>
      <c r="B9" s="106" t="s">
        <v>69</v>
      </c>
      <c r="C9" s="147" t="n">
        <f aca="false">'2a-PayrollYear1'!R8</f>
        <v>0</v>
      </c>
      <c r="D9" s="148" t="n">
        <v>0.2</v>
      </c>
      <c r="E9" s="149" t="n">
        <f aca="false">C9*D9+C9</f>
        <v>0</v>
      </c>
      <c r="F9" s="148" t="n">
        <v>0.3</v>
      </c>
      <c r="G9" s="149" t="n">
        <f aca="false">E9*F9+E9</f>
        <v>0</v>
      </c>
      <c r="H9" s="145"/>
      <c r="I9" s="145"/>
      <c r="J9" s="145"/>
      <c r="K9" s="145"/>
      <c r="L9" s="145"/>
      <c r="M9" s="145"/>
      <c r="N9" s="145"/>
      <c r="O9" s="145"/>
      <c r="P9" s="145"/>
      <c r="Q9" s="145"/>
      <c r="R9" s="145"/>
      <c r="S9" s="145"/>
      <c r="T9" s="145"/>
      <c r="U9" s="145"/>
      <c r="V9" s="145"/>
      <c r="W9" s="145"/>
      <c r="X9" s="145"/>
      <c r="Y9" s="145"/>
      <c r="Z9" s="145"/>
      <c r="AA9" s="145"/>
      <c r="AB9" s="145"/>
      <c r="AC9" s="145"/>
    </row>
    <row r="10" customFormat="false" ht="12.8" hidden="false" customHeight="false" outlineLevel="0" collapsed="false">
      <c r="A10" s="150"/>
      <c r="B10" s="113" t="s">
        <v>70</v>
      </c>
      <c r="C10" s="151" t="n">
        <f aca="false">'2a-PayrollYear1'!R9</f>
        <v>0</v>
      </c>
      <c r="D10" s="152" t="n">
        <v>0.2</v>
      </c>
      <c r="E10" s="153" t="n">
        <f aca="false">C10*D10+C10</f>
        <v>0</v>
      </c>
      <c r="F10" s="152" t="n">
        <v>0.3</v>
      </c>
      <c r="G10" s="153" t="n">
        <f aca="false">E10*F10+E10</f>
        <v>0</v>
      </c>
      <c r="P10" s="154"/>
      <c r="Q10" s="103"/>
      <c r="R10" s="103"/>
      <c r="S10" s="103"/>
      <c r="AC10" s="154"/>
    </row>
    <row r="11" customFormat="false" ht="12.8" hidden="false" customHeight="false" outlineLevel="0" collapsed="false">
      <c r="A11" s="141"/>
      <c r="B11" s="113" t="s">
        <v>71</v>
      </c>
      <c r="C11" s="151" t="n">
        <f aca="false">'2a-PayrollYear1'!R10</f>
        <v>0</v>
      </c>
      <c r="D11" s="152" t="n">
        <v>0.1</v>
      </c>
      <c r="E11" s="153" t="n">
        <f aca="false">C11*D11+C11</f>
        <v>0</v>
      </c>
      <c r="F11" s="152" t="n">
        <v>0.3</v>
      </c>
      <c r="G11" s="153" t="n">
        <f aca="false">E11*F11+E11</f>
        <v>0</v>
      </c>
      <c r="H11" s="141"/>
      <c r="I11" s="141"/>
      <c r="J11" s="141"/>
      <c r="K11" s="141"/>
      <c r="L11" s="141"/>
      <c r="M11" s="141"/>
      <c r="N11" s="141"/>
      <c r="O11" s="141"/>
      <c r="P11" s="141"/>
      <c r="Q11" s="141"/>
      <c r="R11" s="141"/>
      <c r="S11" s="141"/>
      <c r="T11" s="141"/>
      <c r="U11" s="141"/>
      <c r="V11" s="141"/>
      <c r="W11" s="141"/>
      <c r="X11" s="141"/>
      <c r="Y11" s="141"/>
      <c r="Z11" s="141"/>
      <c r="AA11" s="141"/>
      <c r="AB11" s="141"/>
      <c r="AC11" s="141"/>
    </row>
    <row r="12" customFormat="false" ht="12.8" hidden="false" customHeight="false" outlineLevel="0" collapsed="false">
      <c r="A12" s="103"/>
      <c r="B12" s="113" t="s">
        <v>72</v>
      </c>
      <c r="C12" s="151" t="n">
        <f aca="false">'2a-PayrollYear1'!R11</f>
        <v>0</v>
      </c>
      <c r="D12" s="152" t="n">
        <v>0.03</v>
      </c>
      <c r="E12" s="153" t="n">
        <f aca="false">C12*D12+C12</f>
        <v>0</v>
      </c>
      <c r="F12" s="152" t="n">
        <v>0.03</v>
      </c>
      <c r="G12" s="153" t="n">
        <f aca="false">E12*F12+E12</f>
        <v>0</v>
      </c>
      <c r="H12" s="144"/>
      <c r="I12" s="144"/>
      <c r="J12" s="144"/>
      <c r="K12" s="144"/>
      <c r="L12" s="144"/>
      <c r="M12" s="144"/>
      <c r="N12" s="144"/>
      <c r="O12" s="144"/>
      <c r="P12" s="145"/>
      <c r="Q12" s="144"/>
      <c r="R12" s="144"/>
      <c r="S12" s="144"/>
      <c r="T12" s="144"/>
      <c r="U12" s="144"/>
      <c r="V12" s="144"/>
      <c r="W12" s="144"/>
      <c r="X12" s="144"/>
      <c r="Y12" s="144"/>
      <c r="Z12" s="144"/>
      <c r="AA12" s="144"/>
      <c r="AB12" s="144"/>
      <c r="AC12" s="145"/>
    </row>
    <row r="13" customFormat="false" ht="12.8" hidden="false" customHeight="false" outlineLevel="0" collapsed="false">
      <c r="A13" s="103"/>
      <c r="B13" s="120" t="s">
        <v>73</v>
      </c>
      <c r="C13" s="119" t="n">
        <f aca="false">SUM(C9:C12)</f>
        <v>0</v>
      </c>
      <c r="D13" s="155"/>
      <c r="E13" s="156" t="n">
        <f aca="false">SUM(E9:E12)</f>
        <v>0</v>
      </c>
      <c r="F13" s="155"/>
      <c r="G13" s="156" t="n">
        <f aca="false">SUM(G9:G12)</f>
        <v>0</v>
      </c>
      <c r="H13" s="144"/>
      <c r="I13" s="144"/>
      <c r="J13" s="144"/>
      <c r="K13" s="144"/>
      <c r="L13" s="144"/>
      <c r="M13" s="144"/>
      <c r="N13" s="144"/>
      <c r="O13" s="144"/>
      <c r="P13" s="145"/>
      <c r="Q13" s="144"/>
      <c r="R13" s="144"/>
      <c r="S13" s="144"/>
      <c r="T13" s="144"/>
      <c r="U13" s="144"/>
      <c r="V13" s="144"/>
      <c r="W13" s="144"/>
      <c r="X13" s="144"/>
      <c r="Y13" s="144"/>
      <c r="Z13" s="144"/>
      <c r="AA13" s="144"/>
      <c r="AB13" s="144"/>
      <c r="AC13" s="145"/>
    </row>
    <row r="14" customFormat="false" ht="12.8" hidden="false" customHeight="false" outlineLevel="0" collapsed="false">
      <c r="A14" s="103"/>
      <c r="B14" s="120"/>
      <c r="C14" s="157"/>
      <c r="D14" s="155"/>
      <c r="E14" s="153"/>
      <c r="F14" s="155"/>
      <c r="G14" s="153"/>
      <c r="H14" s="144"/>
      <c r="I14" s="144"/>
      <c r="J14" s="144"/>
      <c r="K14" s="144"/>
      <c r="L14" s="144"/>
      <c r="M14" s="144"/>
      <c r="N14" s="144"/>
      <c r="O14" s="144"/>
      <c r="P14" s="145"/>
      <c r="Q14" s="144"/>
      <c r="R14" s="144"/>
      <c r="S14" s="144"/>
      <c r="T14" s="144"/>
      <c r="U14" s="144"/>
      <c r="V14" s="144"/>
      <c r="W14" s="144"/>
      <c r="X14" s="144"/>
      <c r="Y14" s="144"/>
      <c r="Z14" s="144"/>
      <c r="AA14" s="144"/>
      <c r="AB14" s="144"/>
      <c r="AC14" s="145"/>
    </row>
    <row r="15" customFormat="false" ht="13.95" hidden="false" customHeight="false" outlineLevel="0" collapsed="false">
      <c r="A15" s="103"/>
      <c r="B15" s="104" t="s">
        <v>74</v>
      </c>
      <c r="C15" s="104"/>
      <c r="D15" s="158"/>
      <c r="E15" s="104"/>
      <c r="F15" s="158"/>
      <c r="G15" s="104"/>
      <c r="H15" s="144"/>
      <c r="I15" s="144"/>
      <c r="J15" s="144"/>
      <c r="K15" s="144"/>
      <c r="L15" s="144"/>
      <c r="M15" s="144"/>
      <c r="N15" s="144"/>
      <c r="O15" s="144"/>
      <c r="P15" s="145"/>
      <c r="Q15" s="144"/>
      <c r="R15" s="144"/>
      <c r="S15" s="144"/>
      <c r="T15" s="144"/>
      <c r="U15" s="144"/>
      <c r="V15" s="144"/>
      <c r="W15" s="144"/>
      <c r="X15" s="144"/>
      <c r="Y15" s="144"/>
      <c r="Z15" s="144"/>
      <c r="AA15" s="144"/>
      <c r="AB15" s="144"/>
      <c r="AC15" s="145"/>
    </row>
    <row r="16" customFormat="false" ht="12.8" hidden="false" customHeight="false" outlineLevel="0" collapsed="false">
      <c r="A16" s="103"/>
      <c r="B16" s="106" t="s">
        <v>78</v>
      </c>
      <c r="C16" s="147" t="n">
        <f aca="false">'2a-PayrollYear1'!R15</f>
        <v>0</v>
      </c>
      <c r="D16" s="148" t="n">
        <v>0.2</v>
      </c>
      <c r="E16" s="149" t="n">
        <f aca="false">C16*D16+C16</f>
        <v>0</v>
      </c>
      <c r="F16" s="148" t="n">
        <v>0.3</v>
      </c>
      <c r="G16" s="149" t="n">
        <f aca="false">E16*F16+E16</f>
        <v>0</v>
      </c>
      <c r="H16" s="144"/>
      <c r="I16" s="144"/>
      <c r="J16" s="144"/>
      <c r="K16" s="144"/>
      <c r="L16" s="144"/>
      <c r="M16" s="144"/>
      <c r="N16" s="144"/>
      <c r="O16" s="144"/>
      <c r="P16" s="145"/>
      <c r="Q16" s="144"/>
      <c r="R16" s="144"/>
      <c r="S16" s="144"/>
      <c r="T16" s="144"/>
      <c r="U16" s="144"/>
      <c r="V16" s="144"/>
      <c r="W16" s="144"/>
      <c r="X16" s="144"/>
      <c r="Y16" s="144"/>
      <c r="Z16" s="144"/>
      <c r="AA16" s="144"/>
      <c r="AB16" s="144"/>
      <c r="AC16" s="145"/>
    </row>
    <row r="17" customFormat="false" ht="12.8" hidden="false" customHeight="false" outlineLevel="0" collapsed="false">
      <c r="A17" s="103"/>
      <c r="B17" s="113" t="s">
        <v>79</v>
      </c>
      <c r="C17" s="151" t="n">
        <f aca="false">'2a-PayrollYear1'!R16</f>
        <v>0</v>
      </c>
      <c r="D17" s="152" t="n">
        <v>0.2</v>
      </c>
      <c r="E17" s="153" t="n">
        <f aca="false">C17*D17+C17</f>
        <v>0</v>
      </c>
      <c r="F17" s="152" t="n">
        <v>0.3</v>
      </c>
      <c r="G17" s="153" t="n">
        <f aca="false">E17*F17+E17</f>
        <v>0</v>
      </c>
      <c r="H17" s="144"/>
      <c r="I17" s="144"/>
      <c r="J17" s="144"/>
      <c r="K17" s="144"/>
      <c r="L17" s="144"/>
      <c r="M17" s="144"/>
      <c r="N17" s="144"/>
      <c r="O17" s="144"/>
      <c r="P17" s="145"/>
      <c r="Q17" s="144"/>
      <c r="R17" s="144"/>
      <c r="S17" s="144"/>
      <c r="T17" s="144"/>
      <c r="U17" s="144"/>
      <c r="V17" s="144"/>
      <c r="W17" s="144"/>
      <c r="X17" s="144"/>
      <c r="Y17" s="144"/>
      <c r="Z17" s="144"/>
      <c r="AA17" s="144"/>
      <c r="AB17" s="144"/>
      <c r="AC17" s="145"/>
    </row>
    <row r="18" customFormat="false" ht="12.8" hidden="false" customHeight="false" outlineLevel="0" collapsed="false">
      <c r="A18" s="103"/>
      <c r="B18" s="113" t="s">
        <v>81</v>
      </c>
      <c r="C18" s="151" t="n">
        <f aca="false">'2a-PayrollYear1'!R17</f>
        <v>0</v>
      </c>
      <c r="D18" s="152" t="n">
        <v>0.2</v>
      </c>
      <c r="E18" s="153" t="n">
        <f aca="false">C18*D18+C18</f>
        <v>0</v>
      </c>
      <c r="F18" s="152" t="n">
        <v>0.3</v>
      </c>
      <c r="G18" s="153" t="n">
        <f aca="false">E18*F18+E18</f>
        <v>0</v>
      </c>
      <c r="H18" s="144"/>
      <c r="I18" s="144"/>
      <c r="J18" s="144"/>
      <c r="K18" s="144"/>
      <c r="L18" s="144"/>
      <c r="M18" s="144"/>
      <c r="N18" s="144"/>
      <c r="O18" s="144"/>
      <c r="P18" s="145"/>
      <c r="Q18" s="144"/>
      <c r="R18" s="144"/>
      <c r="S18" s="144"/>
      <c r="T18" s="144"/>
      <c r="U18" s="144"/>
      <c r="V18" s="144"/>
      <c r="W18" s="144"/>
      <c r="X18" s="144"/>
      <c r="Y18" s="144"/>
      <c r="Z18" s="144"/>
      <c r="AA18" s="144"/>
      <c r="AB18" s="144"/>
      <c r="AC18" s="145"/>
    </row>
    <row r="19" customFormat="false" ht="12.8" hidden="false" customHeight="false" outlineLevel="0" collapsed="false">
      <c r="A19" s="103"/>
      <c r="B19" s="113" t="s">
        <v>82</v>
      </c>
      <c r="C19" s="151" t="n">
        <f aca="false">'2a-PayrollYear1'!R18</f>
        <v>0</v>
      </c>
      <c r="D19" s="152" t="n">
        <v>0.2</v>
      </c>
      <c r="E19" s="153" t="n">
        <f aca="false">C19*D19+C19</f>
        <v>0</v>
      </c>
      <c r="F19" s="152" t="n">
        <v>0.3</v>
      </c>
      <c r="G19" s="153" t="n">
        <f aca="false">E19*F19+E19</f>
        <v>0</v>
      </c>
      <c r="H19" s="144"/>
      <c r="I19" s="144"/>
      <c r="J19" s="144"/>
      <c r="K19" s="144"/>
      <c r="L19" s="144"/>
      <c r="M19" s="144"/>
      <c r="N19" s="144"/>
      <c r="O19" s="144"/>
      <c r="P19" s="145"/>
      <c r="Q19" s="144"/>
      <c r="R19" s="144"/>
      <c r="S19" s="144"/>
      <c r="T19" s="144"/>
      <c r="U19" s="144"/>
      <c r="V19" s="144"/>
      <c r="W19" s="144"/>
      <c r="X19" s="144"/>
      <c r="Y19" s="144"/>
      <c r="Z19" s="144"/>
      <c r="AA19" s="144"/>
      <c r="AB19" s="144"/>
      <c r="AC19" s="145"/>
    </row>
    <row r="20" customFormat="false" ht="12.8" hidden="false" customHeight="false" outlineLevel="0" collapsed="false">
      <c r="A20" s="146"/>
      <c r="B20" s="113" t="s">
        <v>83</v>
      </c>
      <c r="C20" s="151" t="n">
        <f aca="false">'2a-PayrollYear1'!R19</f>
        <v>0</v>
      </c>
      <c r="D20" s="152" t="n">
        <v>0</v>
      </c>
      <c r="E20" s="153" t="n">
        <f aca="false">C20*D20+C20</f>
        <v>0</v>
      </c>
      <c r="F20" s="152" t="n">
        <v>0</v>
      </c>
      <c r="G20" s="153" t="n">
        <f aca="false">E20*F20+E20</f>
        <v>0</v>
      </c>
      <c r="H20" s="159"/>
      <c r="I20" s="159"/>
      <c r="J20" s="159"/>
      <c r="K20" s="159"/>
      <c r="L20" s="159"/>
      <c r="M20" s="159"/>
      <c r="N20" s="159"/>
      <c r="O20" s="159"/>
      <c r="P20" s="160"/>
      <c r="Q20" s="159"/>
      <c r="R20" s="159"/>
      <c r="S20" s="159"/>
      <c r="T20" s="159"/>
      <c r="U20" s="159"/>
      <c r="V20" s="159"/>
      <c r="W20" s="159"/>
      <c r="X20" s="159"/>
      <c r="Y20" s="159"/>
      <c r="Z20" s="159"/>
      <c r="AA20" s="159"/>
      <c r="AB20" s="159"/>
      <c r="AC20" s="160"/>
    </row>
    <row r="21" customFormat="false" ht="12.8" hidden="false" customHeight="false" outlineLevel="0" collapsed="false">
      <c r="A21" s="150"/>
      <c r="B21" s="113" t="s">
        <v>84</v>
      </c>
      <c r="C21" s="151" t="n">
        <f aca="false">'2a-PayrollYear1'!R20</f>
        <v>0</v>
      </c>
      <c r="D21" s="152" t="n">
        <v>0.03</v>
      </c>
      <c r="E21" s="153" t="n">
        <f aca="false">C21*D21+C21</f>
        <v>0</v>
      </c>
      <c r="F21" s="152" t="n">
        <v>0.03</v>
      </c>
      <c r="G21" s="153" t="n">
        <f aca="false">E21*F21+E21</f>
        <v>0</v>
      </c>
      <c r="Q21" s="103"/>
      <c r="R21" s="103"/>
      <c r="S21" s="103"/>
    </row>
    <row r="22" customFormat="false" ht="12.8" hidden="false" customHeight="false" outlineLevel="0" collapsed="false">
      <c r="A22" s="146"/>
      <c r="B22" s="113" t="s">
        <v>85</v>
      </c>
      <c r="C22" s="151" t="n">
        <f aca="false">'2a-PayrollYear1'!R21</f>
        <v>0</v>
      </c>
      <c r="D22" s="152" t="n">
        <v>0.03</v>
      </c>
      <c r="E22" s="153" t="n">
        <f aca="false">C22*D22+C22</f>
        <v>0</v>
      </c>
      <c r="F22" s="152" t="n">
        <v>0.03</v>
      </c>
      <c r="G22" s="153" t="n">
        <f aca="false">E22*F22+E22</f>
        <v>0</v>
      </c>
      <c r="H22" s="161"/>
      <c r="I22" s="161"/>
      <c r="J22" s="161"/>
      <c r="K22" s="161"/>
      <c r="L22" s="161"/>
      <c r="M22" s="161"/>
      <c r="N22" s="161"/>
      <c r="O22" s="161"/>
      <c r="P22" s="162"/>
      <c r="Q22" s="161"/>
      <c r="R22" s="161"/>
      <c r="S22" s="161"/>
      <c r="T22" s="161"/>
      <c r="U22" s="161"/>
      <c r="V22" s="161"/>
      <c r="W22" s="161"/>
      <c r="X22" s="161"/>
      <c r="Y22" s="161"/>
      <c r="Z22" s="161"/>
      <c r="AA22" s="161"/>
      <c r="AB22" s="161"/>
      <c r="AC22" s="162"/>
    </row>
    <row r="23" customFormat="false" ht="13.8" hidden="false" customHeight="false" outlineLevel="0" collapsed="false">
      <c r="A23" s="0"/>
      <c r="B23" s="113" t="s">
        <v>86</v>
      </c>
      <c r="C23" s="151" t="n">
        <f aca="false">'2a-PayrollYear1'!R22</f>
        <v>0</v>
      </c>
      <c r="D23" s="152" t="n">
        <v>0.1</v>
      </c>
      <c r="E23" s="153" t="n">
        <f aca="false">C23*D23+C23</f>
        <v>0</v>
      </c>
      <c r="F23" s="152" t="n">
        <v>0.1</v>
      </c>
      <c r="G23" s="153" t="n">
        <f aca="false">E23*F23+E23</f>
        <v>0</v>
      </c>
      <c r="H23" s="0"/>
      <c r="I23" s="0"/>
      <c r="J23" s="0"/>
      <c r="K23" s="0"/>
      <c r="L23" s="0"/>
      <c r="M23" s="0"/>
      <c r="N23" s="0"/>
      <c r="O23" s="0"/>
      <c r="P23" s="0"/>
    </row>
    <row r="24" customFormat="false" ht="13.8" hidden="false" customHeight="false" outlineLevel="0" collapsed="false">
      <c r="A24" s="0"/>
      <c r="B24" s="120" t="s">
        <v>87</v>
      </c>
      <c r="C24" s="117" t="n">
        <f aca="false">SUM(C16:C23)</f>
        <v>0</v>
      </c>
      <c r="D24" s="155"/>
      <c r="E24" s="156" t="n">
        <f aca="false">SUM(E16:E23)</f>
        <v>0</v>
      </c>
      <c r="F24" s="155"/>
      <c r="G24" s="156" t="n">
        <f aca="false">SUM(G16:G23)</f>
        <v>0</v>
      </c>
      <c r="H24" s="0"/>
      <c r="I24" s="0"/>
      <c r="J24" s="0"/>
      <c r="K24" s="0"/>
      <c r="L24" s="0"/>
      <c r="M24" s="0"/>
      <c r="N24" s="0"/>
      <c r="O24" s="0"/>
      <c r="P24" s="0"/>
    </row>
    <row r="25" customFormat="false" ht="12.8" hidden="false" customHeight="false" outlineLevel="0" collapsed="false">
      <c r="A25" s="141"/>
      <c r="B25" s="120"/>
      <c r="C25" s="113"/>
      <c r="D25" s="155"/>
      <c r="E25" s="153"/>
      <c r="F25" s="155"/>
      <c r="G25" s="153"/>
      <c r="H25" s="141"/>
      <c r="I25" s="141"/>
      <c r="J25" s="141"/>
      <c r="K25" s="141"/>
      <c r="L25" s="141"/>
      <c r="M25" s="141"/>
      <c r="N25" s="141"/>
      <c r="O25" s="141"/>
      <c r="P25" s="141"/>
    </row>
    <row r="26" customFormat="false" ht="12.8" hidden="false" customHeight="false" outlineLevel="0" collapsed="false">
      <c r="A26" s="103"/>
      <c r="B26" s="120" t="s">
        <v>88</v>
      </c>
      <c r="C26" s="140" t="n">
        <f aca="false">SUM(C13+C24)</f>
        <v>0</v>
      </c>
      <c r="D26" s="155"/>
      <c r="E26" s="163" t="n">
        <f aca="false">SUM(E13+E24)</f>
        <v>0</v>
      </c>
      <c r="F26" s="155"/>
      <c r="G26" s="163" t="n">
        <f aca="false">SUM(G13+G24)</f>
        <v>0</v>
      </c>
      <c r="H26" s="144"/>
      <c r="I26" s="144"/>
      <c r="J26" s="144"/>
      <c r="K26" s="144"/>
      <c r="L26" s="144"/>
      <c r="M26" s="144"/>
      <c r="N26" s="144"/>
      <c r="O26" s="144"/>
      <c r="P26" s="145"/>
    </row>
    <row r="27" customFormat="false" ht="13.8" hidden="false" customHeight="false" outlineLevel="0" collapsed="false"/>
    <row r="28" customFormat="false" ht="13.8" hidden="false" customHeight="false" outlineLevel="0" collapsed="false"/>
  </sheetData>
  <sheetProtection sheet="true" password="cc3d" objects="true" scenarios="true" formatColumns="false" formatRows="false"/>
  <mergeCells count="2">
    <mergeCell ref="C4:D4"/>
    <mergeCell ref="C5:D5"/>
  </mergeCells>
  <printOptions headings="false" gridLines="false" gridLinesSet="true" horizontalCentered="false" verticalCentered="false"/>
  <pageMargins left="0.7" right="0.7"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1:55"/>
  <sheetViews>
    <sheetView windowProtection="false"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O56" activeCellId="0" sqref="O56"/>
    </sheetView>
  </sheetViews>
  <sheetFormatPr defaultRowHeight="13.8"/>
  <cols>
    <col collapsed="false" hidden="false" max="1" min="1" style="95" width="8.11336032388664"/>
    <col collapsed="false" hidden="false" max="2" min="2" style="93" width="28.3279352226721"/>
    <col collapsed="false" hidden="false" max="3" min="3" style="93" width="17.4372469635628"/>
    <col collapsed="false" hidden="false" max="4" min="4" style="93" width="12.4412955465587"/>
    <col collapsed="false" hidden="false" max="5" min="5" style="93" width="11.331983805668"/>
    <col collapsed="false" hidden="false" max="6" min="6" style="93" width="18.331983805668"/>
    <col collapsed="false" hidden="false" max="10" min="7" style="93" width="10.331983805668"/>
    <col collapsed="false" hidden="false" max="11" min="11" style="93" width="11.8906882591093"/>
    <col collapsed="false" hidden="false" max="12" min="12" style="93" width="10.331983805668"/>
    <col collapsed="false" hidden="false" max="14" min="13" style="93" width="11.1133603238866"/>
    <col collapsed="false" hidden="false" max="15" min="15" style="93" width="16.331983805668"/>
    <col collapsed="false" hidden="false" max="16" min="16" style="93" width="11.9959514170041"/>
    <col collapsed="false" hidden="false" max="17" min="17" style="95" width="13.6599190283401"/>
    <col collapsed="false" hidden="false" max="1025" min="18" style="93" width="8.88259109311741"/>
  </cols>
  <sheetData>
    <row r="1" customFormat="false" ht="13.8" hidden="false" customHeight="false" outlineLevel="0" collapsed="false">
      <c r="A1" s="0"/>
      <c r="B1" s="95"/>
      <c r="C1" s="95"/>
      <c r="D1" s="95"/>
      <c r="E1" s="95"/>
      <c r="F1" s="95"/>
      <c r="G1" s="95"/>
      <c r="H1" s="95"/>
      <c r="I1" s="95"/>
      <c r="J1" s="95"/>
      <c r="K1" s="95"/>
      <c r="L1" s="95"/>
      <c r="M1" s="95"/>
      <c r="N1" s="95"/>
      <c r="O1" s="95"/>
      <c r="P1" s="95"/>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0"/>
      <c r="B2" s="164" t="s">
        <v>93</v>
      </c>
      <c r="C2" s="164"/>
      <c r="D2" s="98"/>
      <c r="E2" s="95"/>
      <c r="F2" s="95"/>
      <c r="G2" s="95"/>
      <c r="H2" s="95"/>
      <c r="I2" s="95"/>
      <c r="J2" s="95"/>
      <c r="K2" s="95"/>
      <c r="L2" s="95"/>
      <c r="M2" s="95"/>
      <c r="N2" s="95"/>
      <c r="O2" s="95"/>
      <c r="P2" s="95"/>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0"/>
      <c r="B3" s="98"/>
      <c r="C3" s="98"/>
      <c r="D3" s="98"/>
      <c r="E3" s="95"/>
      <c r="F3" s="95"/>
      <c r="G3" s="95"/>
      <c r="H3" s="95"/>
      <c r="I3" s="95"/>
      <c r="J3" s="95"/>
      <c r="K3" s="95"/>
      <c r="L3" s="95"/>
      <c r="M3" s="95"/>
      <c r="N3" s="95"/>
      <c r="O3" s="95"/>
      <c r="P3" s="95"/>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8" hidden="false" customHeight="false" outlineLevel="0" collapsed="false">
      <c r="A4" s="0"/>
      <c r="B4" s="100" t="s">
        <v>8</v>
      </c>
      <c r="C4" s="100" t="s">
        <v>9</v>
      </c>
      <c r="D4" s="98"/>
      <c r="E4" s="95"/>
      <c r="F4" s="95"/>
      <c r="G4" s="95"/>
      <c r="H4" s="95"/>
      <c r="I4" s="95"/>
      <c r="J4" s="95"/>
      <c r="K4" s="95"/>
      <c r="L4" s="95"/>
      <c r="M4" s="95"/>
      <c r="N4" s="95"/>
      <c r="O4" s="95"/>
      <c r="P4" s="95"/>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8" hidden="false" customHeight="true" outlineLevel="0" collapsed="false">
      <c r="A5" s="0"/>
      <c r="B5" s="101" t="str">
        <f aca="false">IF(ISBLANK(Directions!C6), "Owner", Directions!C6)</f>
        <v>Owner</v>
      </c>
      <c r="C5" s="142" t="str">
        <f aca="false">IF(ISBLANK(Directions!D6), "Company 1", Directions!D6)</f>
        <v>Company 1</v>
      </c>
      <c r="D5" s="142"/>
      <c r="E5" s="95"/>
      <c r="F5" s="95"/>
      <c r="G5" s="95"/>
      <c r="H5" s="95"/>
      <c r="I5" s="95"/>
      <c r="J5" s="95"/>
      <c r="K5" s="95"/>
      <c r="L5" s="95"/>
      <c r="M5" s="95"/>
      <c r="N5" s="95"/>
      <c r="O5" s="95"/>
      <c r="P5" s="95"/>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0"/>
      <c r="B6" s="165"/>
      <c r="C6" s="95"/>
      <c r="D6" s="166"/>
      <c r="E6" s="165"/>
      <c r="F6" s="95"/>
      <c r="G6" s="95"/>
      <c r="H6" s="95"/>
      <c r="I6" s="95"/>
      <c r="J6" s="95"/>
      <c r="K6" s="95"/>
      <c r="L6" s="95"/>
      <c r="M6" s="165"/>
      <c r="N6" s="95"/>
      <c r="O6" s="95"/>
      <c r="P6" s="95"/>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false" outlineLevel="0" collapsed="false">
      <c r="A7" s="0"/>
      <c r="B7" s="167" t="s">
        <v>94</v>
      </c>
      <c r="C7" s="167"/>
      <c r="D7" s="167"/>
      <c r="E7" s="167"/>
      <c r="F7" s="113"/>
      <c r="G7" s="96"/>
      <c r="H7" s="96"/>
      <c r="I7" s="95"/>
      <c r="J7" s="95"/>
      <c r="K7" s="95"/>
      <c r="L7" s="95"/>
      <c r="M7" s="95"/>
      <c r="N7" s="95"/>
      <c r="O7" s="95"/>
      <c r="P7" s="95"/>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45" hidden="false" customHeight="true" outlineLevel="0" collapsed="false">
      <c r="A8" s="0"/>
      <c r="B8" s="168" t="s">
        <v>95</v>
      </c>
      <c r="C8" s="168" t="s">
        <v>96</v>
      </c>
      <c r="D8" s="169" t="s">
        <v>97</v>
      </c>
      <c r="E8" s="170" t="s">
        <v>98</v>
      </c>
      <c r="F8" s="171" t="s">
        <v>99</v>
      </c>
      <c r="G8" s="172"/>
      <c r="H8" s="173"/>
      <c r="I8" s="173"/>
      <c r="J8" s="173"/>
      <c r="K8" s="95"/>
      <c r="L8" s="95"/>
      <c r="M8" s="95"/>
      <c r="N8" s="95"/>
      <c r="O8" s="95"/>
      <c r="P8" s="95"/>
      <c r="Q8" s="0"/>
      <c r="R8" s="95"/>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0"/>
      <c r="B9" s="174"/>
      <c r="C9" s="174"/>
      <c r="D9" s="175"/>
      <c r="E9" s="176"/>
      <c r="F9" s="177" t="n">
        <f aca="false">D9-E9</f>
        <v>0</v>
      </c>
      <c r="G9" s="178"/>
      <c r="H9" s="173"/>
      <c r="I9" s="173"/>
      <c r="J9" s="173"/>
      <c r="K9" s="95"/>
      <c r="L9" s="95"/>
      <c r="M9" s="95"/>
      <c r="N9" s="95"/>
      <c r="O9" s="95"/>
      <c r="P9" s="95"/>
      <c r="Q9" s="0"/>
      <c r="R9" s="95"/>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0"/>
      <c r="B10" s="174"/>
      <c r="C10" s="174"/>
      <c r="D10" s="175"/>
      <c r="E10" s="176"/>
      <c r="F10" s="177" t="n">
        <f aca="false">D10-E10</f>
        <v>0</v>
      </c>
      <c r="G10" s="178"/>
      <c r="H10" s="178"/>
      <c r="I10" s="95"/>
      <c r="J10" s="95"/>
      <c r="K10" s="95"/>
      <c r="L10" s="95"/>
      <c r="M10" s="95"/>
      <c r="N10" s="95"/>
      <c r="O10" s="95"/>
      <c r="P10" s="95"/>
      <c r="Q10" s="0"/>
      <c r="R10" s="95"/>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0"/>
      <c r="B11" s="174"/>
      <c r="C11" s="174"/>
      <c r="D11" s="175"/>
      <c r="E11" s="176"/>
      <c r="F11" s="177" t="n">
        <f aca="false">D11-E11</f>
        <v>0</v>
      </c>
      <c r="G11" s="178"/>
      <c r="H11" s="178"/>
      <c r="I11" s="95"/>
      <c r="J11" s="95"/>
      <c r="K11" s="95"/>
      <c r="L11" s="95"/>
      <c r="M11" s="95"/>
      <c r="N11" s="95"/>
      <c r="O11" s="95"/>
      <c r="P11" s="95"/>
      <c r="Q11" s="0"/>
      <c r="R11" s="95"/>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0"/>
      <c r="B12" s="174"/>
      <c r="C12" s="174"/>
      <c r="D12" s="175"/>
      <c r="E12" s="176"/>
      <c r="F12" s="177" t="n">
        <f aca="false">D12-E12</f>
        <v>0</v>
      </c>
      <c r="G12" s="178"/>
      <c r="H12" s="178"/>
      <c r="I12" s="95"/>
      <c r="J12" s="95"/>
      <c r="K12" s="95"/>
      <c r="L12" s="95"/>
      <c r="M12" s="95"/>
      <c r="N12" s="95"/>
      <c r="O12" s="95"/>
      <c r="P12" s="95"/>
      <c r="Q12" s="0"/>
      <c r="R12" s="95"/>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174"/>
      <c r="C13" s="174"/>
      <c r="D13" s="175"/>
      <c r="E13" s="176"/>
      <c r="F13" s="177" t="n">
        <f aca="false">D13-E13</f>
        <v>0</v>
      </c>
      <c r="G13" s="178"/>
      <c r="H13" s="178"/>
      <c r="I13" s="95"/>
      <c r="J13" s="95"/>
      <c r="K13" s="95"/>
      <c r="L13" s="95"/>
      <c r="M13" s="95"/>
      <c r="N13" s="95"/>
      <c r="O13" s="95"/>
      <c r="P13" s="95"/>
      <c r="Q13" s="0"/>
      <c r="R13" s="95"/>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174"/>
      <c r="C14" s="174"/>
      <c r="D14" s="175"/>
      <c r="E14" s="176"/>
      <c r="F14" s="177" t="n">
        <f aca="false">D14-E14</f>
        <v>0</v>
      </c>
      <c r="G14" s="178"/>
      <c r="H14" s="178"/>
      <c r="I14" s="95"/>
      <c r="J14" s="95"/>
      <c r="K14" s="95"/>
      <c r="L14" s="95"/>
      <c r="M14" s="95"/>
      <c r="N14" s="95"/>
      <c r="O14" s="95"/>
      <c r="P14" s="95"/>
      <c r="Q14" s="0"/>
      <c r="R14" s="95"/>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95" customFormat="true" ht="13.8" hidden="false" customHeight="false" outlineLevel="0" collapsed="false">
      <c r="B15" s="165"/>
      <c r="C15" s="179"/>
      <c r="D15" s="179"/>
      <c r="E15" s="179"/>
      <c r="F15" s="179"/>
      <c r="G15" s="179"/>
      <c r="H15" s="179"/>
      <c r="I15" s="179"/>
      <c r="J15" s="179"/>
      <c r="K15" s="179"/>
      <c r="L15" s="179"/>
      <c r="M15" s="179"/>
      <c r="N15" s="179"/>
    </row>
    <row r="16" customFormat="false" ht="28.2" hidden="false" customHeight="false" outlineLevel="0" collapsed="false">
      <c r="A16" s="0"/>
      <c r="B16" s="104" t="s">
        <v>95</v>
      </c>
      <c r="C16" s="104" t="str">
        <f aca="false">'2a-PayrollYear1'!F7</f>
        <v>Month 1</v>
      </c>
      <c r="D16" s="104" t="str">
        <f aca="false">'2a-PayrollYear1'!G7</f>
        <v>Month 2</v>
      </c>
      <c r="E16" s="104" t="str">
        <f aca="false">'2a-PayrollYear1'!H7</f>
        <v>Month 3</v>
      </c>
      <c r="F16" s="104" t="str">
        <f aca="false">'2a-PayrollYear1'!I7</f>
        <v>Month 4</v>
      </c>
      <c r="G16" s="104" t="str">
        <f aca="false">'2a-PayrollYear1'!J7</f>
        <v>Month 5</v>
      </c>
      <c r="H16" s="104" t="str">
        <f aca="false">'2a-PayrollYear1'!K7</f>
        <v>Month 6</v>
      </c>
      <c r="I16" s="104" t="str">
        <f aca="false">'2a-PayrollYear1'!L7</f>
        <v>Month 7</v>
      </c>
      <c r="J16" s="104" t="str">
        <f aca="false">'2a-PayrollYear1'!M7</f>
        <v>Month 8</v>
      </c>
      <c r="K16" s="104" t="str">
        <f aca="false">'2a-PayrollYear1'!N7</f>
        <v>Month 9</v>
      </c>
      <c r="L16" s="104" t="str">
        <f aca="false">'2a-PayrollYear1'!O7</f>
        <v>Month 10</v>
      </c>
      <c r="M16" s="104" t="str">
        <f aca="false">'2a-PayrollYear1'!P7</f>
        <v>Month 11</v>
      </c>
      <c r="N16" s="104" t="str">
        <f aca="false">'2a-PayrollYear1'!Q7</f>
        <v>Month 12</v>
      </c>
      <c r="O16" s="104" t="s">
        <v>68</v>
      </c>
      <c r="P16" s="104" t="s">
        <v>100</v>
      </c>
      <c r="Q16" s="104" t="s">
        <v>101</v>
      </c>
      <c r="R16" s="95"/>
      <c r="S16" s="95"/>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95" customFormat="true" ht="14.4" hidden="false" customHeight="false" outlineLevel="0" collapsed="false">
      <c r="B17" s="180" t="str">
        <f aca="false">IF(ISBLANK(B9), "Product 1", B9)</f>
        <v>Product 1</v>
      </c>
      <c r="C17" s="181"/>
      <c r="D17" s="181"/>
      <c r="E17" s="181"/>
      <c r="F17" s="181"/>
      <c r="G17" s="181"/>
      <c r="H17" s="181"/>
      <c r="I17" s="181"/>
      <c r="J17" s="181"/>
      <c r="K17" s="181"/>
      <c r="L17" s="181"/>
      <c r="M17" s="181"/>
      <c r="N17" s="181"/>
      <c r="O17" s="182"/>
      <c r="P17" s="106"/>
      <c r="Q17" s="182"/>
    </row>
    <row r="18" customFormat="false" ht="13.8" hidden="false" customHeight="false" outlineLevel="0" collapsed="false">
      <c r="B18" s="183" t="str">
        <f aca="false">IF(ISBLANK(C9), "Units Sold", Unit1&amp; " Sold")</f>
        <v>Units Sold</v>
      </c>
      <c r="C18" s="184"/>
      <c r="D18" s="184"/>
      <c r="E18" s="184"/>
      <c r="F18" s="184"/>
      <c r="G18" s="184"/>
      <c r="H18" s="184"/>
      <c r="I18" s="184"/>
      <c r="J18" s="184"/>
      <c r="K18" s="184"/>
      <c r="L18" s="184"/>
      <c r="M18" s="184"/>
      <c r="N18" s="184"/>
      <c r="O18" s="185" t="n">
        <f aca="false">SUM(C18:N18)</f>
        <v>0</v>
      </c>
      <c r="P18" s="113"/>
      <c r="Q18" s="186" t="n">
        <f aca="false">IF($O$52=0,0,O18/$O$52)</f>
        <v>0</v>
      </c>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0"/>
      <c r="B19" s="187" t="s">
        <v>102</v>
      </c>
      <c r="C19" s="188" t="n">
        <f aca="false">$D$9*C18</f>
        <v>0</v>
      </c>
      <c r="D19" s="188" t="n">
        <f aca="false">$D$9*D18</f>
        <v>0</v>
      </c>
      <c r="E19" s="188" t="n">
        <f aca="false">$D$9*E18</f>
        <v>0</v>
      </c>
      <c r="F19" s="188" t="n">
        <f aca="false">$D$9*F18</f>
        <v>0</v>
      </c>
      <c r="G19" s="188" t="n">
        <f aca="false">$D$9*G18</f>
        <v>0</v>
      </c>
      <c r="H19" s="188" t="n">
        <f aca="false">$D$9*H18</f>
        <v>0</v>
      </c>
      <c r="I19" s="188" t="n">
        <f aca="false">$D$9*I18</f>
        <v>0</v>
      </c>
      <c r="J19" s="188" t="n">
        <f aca="false">$D$9*J18</f>
        <v>0</v>
      </c>
      <c r="K19" s="188" t="n">
        <f aca="false">$D$9*K18</f>
        <v>0</v>
      </c>
      <c r="L19" s="188" t="n">
        <f aca="false">$D$9*L18</f>
        <v>0</v>
      </c>
      <c r="M19" s="188" t="n">
        <f aca="false">$D$9*M18</f>
        <v>0</v>
      </c>
      <c r="N19" s="188" t="n">
        <f aca="false">$D$9*N18</f>
        <v>0</v>
      </c>
      <c r="O19" s="189" t="n">
        <f aca="false">SUM(C19:N19)</f>
        <v>0</v>
      </c>
      <c r="P19" s="190" t="n">
        <f aca="false">(P20+P21)</f>
        <v>0</v>
      </c>
      <c r="Q19" s="186" t="n">
        <f aca="false">IF($O$53=0,0,O19/$O$53)</f>
        <v>0</v>
      </c>
      <c r="R19" s="95"/>
      <c r="S19" s="95"/>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0"/>
      <c r="B20" s="187" t="s">
        <v>103</v>
      </c>
      <c r="C20" s="188" t="n">
        <f aca="false">$E$9*C18</f>
        <v>0</v>
      </c>
      <c r="D20" s="188" t="n">
        <f aca="false">$E$9*D18</f>
        <v>0</v>
      </c>
      <c r="E20" s="188" t="n">
        <f aca="false">$E$9*E18</f>
        <v>0</v>
      </c>
      <c r="F20" s="188" t="n">
        <f aca="false">$E$9*F18</f>
        <v>0</v>
      </c>
      <c r="G20" s="188" t="n">
        <f aca="false">$E$9*G18</f>
        <v>0</v>
      </c>
      <c r="H20" s="188" t="n">
        <f aca="false">$E$9*H18</f>
        <v>0</v>
      </c>
      <c r="I20" s="188" t="n">
        <f aca="false">$E$9*I18</f>
        <v>0</v>
      </c>
      <c r="J20" s="188" t="n">
        <f aca="false">$E$9*J18</f>
        <v>0</v>
      </c>
      <c r="K20" s="188" t="n">
        <f aca="false">$E$9*K18</f>
        <v>0</v>
      </c>
      <c r="L20" s="188" t="n">
        <f aca="false">$E$9*L18</f>
        <v>0</v>
      </c>
      <c r="M20" s="188" t="n">
        <f aca="false">$E$9*M18</f>
        <v>0</v>
      </c>
      <c r="N20" s="188" t="n">
        <f aca="false">$E$9*N18</f>
        <v>0</v>
      </c>
      <c r="O20" s="189" t="n">
        <f aca="false">SUM(C20:N20)</f>
        <v>0</v>
      </c>
      <c r="P20" s="190" t="n">
        <f aca="false">IF(O19=0,0,O20/O19)</f>
        <v>0</v>
      </c>
      <c r="Q20" s="186" t="n">
        <f aca="false">IF($O$54=0,0,O20/$O$54)</f>
        <v>0</v>
      </c>
      <c r="R20" s="95"/>
      <c r="S20" s="95"/>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96" customFormat="true" ht="13.8" hidden="false" customHeight="false" outlineLevel="0" collapsed="false">
      <c r="B21" s="183" t="s">
        <v>104</v>
      </c>
      <c r="C21" s="191" t="n">
        <f aca="false">C19-C20</f>
        <v>0</v>
      </c>
      <c r="D21" s="191" t="n">
        <f aca="false">D19-D20</f>
        <v>0</v>
      </c>
      <c r="E21" s="191" t="n">
        <f aca="false">E19-E20</f>
        <v>0</v>
      </c>
      <c r="F21" s="191" t="n">
        <f aca="false">F19-F20</f>
        <v>0</v>
      </c>
      <c r="G21" s="191" t="n">
        <f aca="false">G19-G20</f>
        <v>0</v>
      </c>
      <c r="H21" s="191" t="n">
        <f aca="false">H19-H20</f>
        <v>0</v>
      </c>
      <c r="I21" s="191" t="n">
        <f aca="false">I19-I20</f>
        <v>0</v>
      </c>
      <c r="J21" s="191" t="n">
        <f aca="false">J19-J20</f>
        <v>0</v>
      </c>
      <c r="K21" s="191" t="n">
        <f aca="false">K19-K20</f>
        <v>0</v>
      </c>
      <c r="L21" s="191" t="n">
        <f aca="false">L19-L20</f>
        <v>0</v>
      </c>
      <c r="M21" s="191" t="n">
        <f aca="false">M19-M20</f>
        <v>0</v>
      </c>
      <c r="N21" s="191" t="n">
        <f aca="false">N19-N20</f>
        <v>0</v>
      </c>
      <c r="O21" s="189" t="n">
        <f aca="false">SUM(C21:N21)</f>
        <v>0</v>
      </c>
      <c r="P21" s="190" t="n">
        <f aca="false">IF(O19=0,0,O21/O19)</f>
        <v>0</v>
      </c>
      <c r="Q21" s="186" t="n">
        <f aca="false">IF($O$55=0,0,O21/$O$55)</f>
        <v>0</v>
      </c>
    </row>
    <row r="22" customFormat="false" ht="13.8" hidden="false" customHeight="false" outlineLevel="0" collapsed="false">
      <c r="A22" s="96"/>
      <c r="B22" s="192"/>
      <c r="C22" s="193"/>
      <c r="D22" s="194"/>
      <c r="E22" s="194"/>
      <c r="F22" s="194"/>
      <c r="G22" s="194"/>
      <c r="H22" s="194"/>
      <c r="I22" s="194"/>
      <c r="J22" s="194"/>
      <c r="K22" s="194"/>
      <c r="L22" s="194"/>
      <c r="M22" s="194"/>
      <c r="N22" s="194"/>
      <c r="O22" s="195"/>
      <c r="P22" s="113"/>
      <c r="Q22" s="196"/>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95" customFormat="true" ht="13.8" hidden="false" customHeight="false" outlineLevel="0" collapsed="false">
      <c r="B23" s="197" t="str">
        <f aca="false">IF(ISBLANK(B10), "Product 2", B10)</f>
        <v>Product 2</v>
      </c>
      <c r="C23" s="198"/>
      <c r="D23" s="198"/>
      <c r="E23" s="198"/>
      <c r="F23" s="198"/>
      <c r="G23" s="198"/>
      <c r="H23" s="198"/>
      <c r="I23" s="198"/>
      <c r="J23" s="198"/>
      <c r="K23" s="198"/>
      <c r="L23" s="198"/>
      <c r="M23" s="198"/>
      <c r="N23" s="198"/>
      <c r="O23" s="182"/>
      <c r="P23" s="113"/>
      <c r="Q23" s="196"/>
    </row>
    <row r="24" customFormat="false" ht="13.8" hidden="false" customHeight="false" outlineLevel="0" collapsed="false">
      <c r="B24" s="183" t="str">
        <f aca="false">IF(ISBLANK(C10), "Units Sold", Unit2&amp; " Sold")</f>
        <v>Units Sold</v>
      </c>
      <c r="C24" s="184"/>
      <c r="D24" s="184"/>
      <c r="E24" s="184"/>
      <c r="F24" s="184"/>
      <c r="G24" s="184"/>
      <c r="H24" s="184"/>
      <c r="I24" s="184"/>
      <c r="J24" s="184"/>
      <c r="K24" s="184"/>
      <c r="L24" s="184"/>
      <c r="M24" s="184"/>
      <c r="N24" s="184"/>
      <c r="O24" s="199" t="n">
        <f aca="false">SUM(C24:N24)</f>
        <v>0</v>
      </c>
      <c r="P24" s="113"/>
      <c r="Q24" s="186" t="n">
        <f aca="false">IF($O$52=0,0,O24/$O$52)</f>
        <v>0</v>
      </c>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3.8" hidden="false" customHeight="false" outlineLevel="0" collapsed="false">
      <c r="A25" s="0"/>
      <c r="B25" s="200" t="s">
        <v>102</v>
      </c>
      <c r="C25" s="188" t="n">
        <f aca="false">$D$10*C24</f>
        <v>0</v>
      </c>
      <c r="D25" s="188" t="n">
        <f aca="false">$D$10*D24</f>
        <v>0</v>
      </c>
      <c r="E25" s="188" t="n">
        <f aca="false">$D$10*E24</f>
        <v>0</v>
      </c>
      <c r="F25" s="188" t="n">
        <f aca="false">$D$10*F24</f>
        <v>0</v>
      </c>
      <c r="G25" s="188" t="n">
        <f aca="false">$D$10*G24</f>
        <v>0</v>
      </c>
      <c r="H25" s="188" t="n">
        <f aca="false">$D$10*H24</f>
        <v>0</v>
      </c>
      <c r="I25" s="188" t="n">
        <f aca="false">$D$10*I24</f>
        <v>0</v>
      </c>
      <c r="J25" s="188" t="n">
        <f aca="false">$D$10*J24</f>
        <v>0</v>
      </c>
      <c r="K25" s="188" t="n">
        <f aca="false">$D$10*K24</f>
        <v>0</v>
      </c>
      <c r="L25" s="188" t="n">
        <f aca="false">$D$10*L24</f>
        <v>0</v>
      </c>
      <c r="M25" s="188" t="n">
        <f aca="false">$D$10*M24</f>
        <v>0</v>
      </c>
      <c r="N25" s="188" t="n">
        <f aca="false">$D$10*N24</f>
        <v>0</v>
      </c>
      <c r="O25" s="201" t="n">
        <f aca="false">SUM(C25:N25)</f>
        <v>0</v>
      </c>
      <c r="P25" s="190" t="n">
        <f aca="false">(P26+P27)</f>
        <v>0</v>
      </c>
      <c r="Q25" s="186" t="n">
        <f aca="false">IF($O$53=0,0,O25/$O$53)</f>
        <v>0</v>
      </c>
      <c r="R25" s="95"/>
      <c r="S25" s="95"/>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8" hidden="false" customHeight="false" outlineLevel="0" collapsed="false">
      <c r="A26" s="0"/>
      <c r="B26" s="200" t="s">
        <v>103</v>
      </c>
      <c r="C26" s="188" t="n">
        <f aca="false">$E$10*C24</f>
        <v>0</v>
      </c>
      <c r="D26" s="188" t="n">
        <f aca="false">$E$10*D24</f>
        <v>0</v>
      </c>
      <c r="E26" s="188" t="n">
        <f aca="false">$E$10*E24</f>
        <v>0</v>
      </c>
      <c r="F26" s="188" t="n">
        <f aca="false">$E$10*F24</f>
        <v>0</v>
      </c>
      <c r="G26" s="188" t="n">
        <f aca="false">$E$10*G24</f>
        <v>0</v>
      </c>
      <c r="H26" s="188" t="n">
        <f aca="false">$E$10*H24</f>
        <v>0</v>
      </c>
      <c r="I26" s="188" t="n">
        <f aca="false">$E$10*I24</f>
        <v>0</v>
      </c>
      <c r="J26" s="188" t="n">
        <f aca="false">$E$10*J24</f>
        <v>0</v>
      </c>
      <c r="K26" s="188" t="n">
        <f aca="false">$E$10*K24</f>
        <v>0</v>
      </c>
      <c r="L26" s="188" t="n">
        <f aca="false">$E$10*L24</f>
        <v>0</v>
      </c>
      <c r="M26" s="188" t="n">
        <f aca="false">$E$10*M24</f>
        <v>0</v>
      </c>
      <c r="N26" s="188" t="n">
        <f aca="false">$E$10*N24</f>
        <v>0</v>
      </c>
      <c r="O26" s="201" t="n">
        <f aca="false">SUM(C26:N26)</f>
        <v>0</v>
      </c>
      <c r="P26" s="190" t="n">
        <f aca="false">IF(O25=0,0,O26/O25)</f>
        <v>0</v>
      </c>
      <c r="Q26" s="186" t="n">
        <f aca="false">IF($O$54=0,0,O26/$O$54)</f>
        <v>0</v>
      </c>
      <c r="R26" s="95"/>
      <c r="S26" s="95"/>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s="96" customFormat="true" ht="13.8" hidden="false" customHeight="false" outlineLevel="0" collapsed="false">
      <c r="B27" s="183" t="s">
        <v>105</v>
      </c>
      <c r="C27" s="191" t="n">
        <f aca="false">C25-C26</f>
        <v>0</v>
      </c>
      <c r="D27" s="191" t="n">
        <f aca="false">D25-D26</f>
        <v>0</v>
      </c>
      <c r="E27" s="191" t="n">
        <f aca="false">E25-E26</f>
        <v>0</v>
      </c>
      <c r="F27" s="191" t="n">
        <f aca="false">F25-F26</f>
        <v>0</v>
      </c>
      <c r="G27" s="191" t="n">
        <f aca="false">G25-G26</f>
        <v>0</v>
      </c>
      <c r="H27" s="191" t="n">
        <f aca="false">H25-H26</f>
        <v>0</v>
      </c>
      <c r="I27" s="191" t="n">
        <f aca="false">I25-I26</f>
        <v>0</v>
      </c>
      <c r="J27" s="191" t="n">
        <f aca="false">J25-J26</f>
        <v>0</v>
      </c>
      <c r="K27" s="191" t="n">
        <f aca="false">K25-K26</f>
        <v>0</v>
      </c>
      <c r="L27" s="191" t="n">
        <f aca="false">L25-L26</f>
        <v>0</v>
      </c>
      <c r="M27" s="191" t="n">
        <f aca="false">M25-M26</f>
        <v>0</v>
      </c>
      <c r="N27" s="191" t="n">
        <f aca="false">N25-N26</f>
        <v>0</v>
      </c>
      <c r="O27" s="201" t="n">
        <f aca="false">SUM(C27:N27)</f>
        <v>0</v>
      </c>
      <c r="P27" s="190" t="n">
        <f aca="false">IF(O25=0,0,O27/O25)</f>
        <v>0</v>
      </c>
      <c r="Q27" s="186" t="n">
        <f aca="false">IF($O$55=0,0,O27/$O$55)</f>
        <v>0</v>
      </c>
    </row>
    <row r="28" customFormat="false" ht="13.8" hidden="false" customHeight="false" outlineLevel="0" collapsed="false">
      <c r="A28" s="96"/>
      <c r="B28" s="192"/>
      <c r="C28" s="194"/>
      <c r="D28" s="194"/>
      <c r="E28" s="194"/>
      <c r="F28" s="194"/>
      <c r="G28" s="194"/>
      <c r="H28" s="194"/>
      <c r="I28" s="194"/>
      <c r="J28" s="194"/>
      <c r="K28" s="194"/>
      <c r="L28" s="194"/>
      <c r="M28" s="194"/>
      <c r="N28" s="194"/>
      <c r="O28" s="195"/>
      <c r="P28" s="113"/>
      <c r="Q28" s="196"/>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3.8" hidden="false" customHeight="false" outlineLevel="0" collapsed="false">
      <c r="A29" s="0"/>
      <c r="B29" s="197" t="str">
        <f aca="false">IF(ISBLANK(B11), "Product 3", B11)</f>
        <v>Product 3</v>
      </c>
      <c r="C29" s="202"/>
      <c r="D29" s="202"/>
      <c r="E29" s="202"/>
      <c r="F29" s="203"/>
      <c r="G29" s="203"/>
      <c r="H29" s="203"/>
      <c r="I29" s="203"/>
      <c r="J29" s="203"/>
      <c r="K29" s="203"/>
      <c r="L29" s="203"/>
      <c r="M29" s="203"/>
      <c r="N29" s="203"/>
      <c r="O29" s="182"/>
      <c r="P29" s="113"/>
      <c r="Q29" s="196"/>
      <c r="R29" s="95"/>
      <c r="S29" s="95"/>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s="95" customFormat="true" ht="13.8" hidden="false" customHeight="false" outlineLevel="0" collapsed="false">
      <c r="B30" s="183" t="str">
        <f aca="false">IF(ISBLANK(C11), "Units Sold", Unit3&amp; " Sold")</f>
        <v>Units Sold</v>
      </c>
      <c r="C30" s="184"/>
      <c r="D30" s="184"/>
      <c r="E30" s="184"/>
      <c r="F30" s="184"/>
      <c r="G30" s="184"/>
      <c r="H30" s="184"/>
      <c r="I30" s="184"/>
      <c r="J30" s="184"/>
      <c r="K30" s="184"/>
      <c r="L30" s="184"/>
      <c r="M30" s="184"/>
      <c r="N30" s="184"/>
      <c r="O30" s="199" t="n">
        <f aca="false">SUM(C30:N30)</f>
        <v>0</v>
      </c>
      <c r="P30" s="113"/>
      <c r="Q30" s="186" t="n">
        <f aca="false">IF($O$52=0,0,O30/$O$52)</f>
        <v>0</v>
      </c>
    </row>
    <row r="31" customFormat="false" ht="13.8" hidden="false" customHeight="false" outlineLevel="0" collapsed="false">
      <c r="A31" s="0"/>
      <c r="B31" s="200" t="s">
        <v>102</v>
      </c>
      <c r="C31" s="204" t="n">
        <f aca="false">$D$11*C30</f>
        <v>0</v>
      </c>
      <c r="D31" s="204" t="n">
        <f aca="false">$D$11*D30</f>
        <v>0</v>
      </c>
      <c r="E31" s="204" t="n">
        <f aca="false">$D$11*E30</f>
        <v>0</v>
      </c>
      <c r="F31" s="204" t="n">
        <f aca="false">$D$11*F30</f>
        <v>0</v>
      </c>
      <c r="G31" s="204" t="n">
        <f aca="false">$D$11*G30</f>
        <v>0</v>
      </c>
      <c r="H31" s="204" t="n">
        <f aca="false">$D$11*H30</f>
        <v>0</v>
      </c>
      <c r="I31" s="204" t="n">
        <f aca="false">$D$11*I30</f>
        <v>0</v>
      </c>
      <c r="J31" s="204" t="n">
        <f aca="false">$D$11*J30</f>
        <v>0</v>
      </c>
      <c r="K31" s="204" t="n">
        <f aca="false">$D$11*K30</f>
        <v>0</v>
      </c>
      <c r="L31" s="204" t="n">
        <f aca="false">$D$11*L30</f>
        <v>0</v>
      </c>
      <c r="M31" s="204" t="n">
        <f aca="false">$D$11*M30</f>
        <v>0</v>
      </c>
      <c r="N31" s="204" t="n">
        <f aca="false">$D$11*N30</f>
        <v>0</v>
      </c>
      <c r="O31" s="201" t="n">
        <f aca="false">SUM(C31:N31)</f>
        <v>0</v>
      </c>
      <c r="P31" s="190" t="n">
        <f aca="false">(P32+P33)</f>
        <v>0</v>
      </c>
      <c r="Q31" s="186" t="n">
        <f aca="false">IF($O$53=0,0,O31/$O$53)</f>
        <v>0</v>
      </c>
      <c r="R31" s="95"/>
      <c r="S31" s="95"/>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0"/>
      <c r="B32" s="200" t="s">
        <v>103</v>
      </c>
      <c r="C32" s="204" t="n">
        <f aca="false">$E$11*C30</f>
        <v>0</v>
      </c>
      <c r="D32" s="204" t="n">
        <f aca="false">$E$11*D30</f>
        <v>0</v>
      </c>
      <c r="E32" s="204" t="n">
        <f aca="false">$E$11*E30</f>
        <v>0</v>
      </c>
      <c r="F32" s="204" t="n">
        <f aca="false">$E$11*F30</f>
        <v>0</v>
      </c>
      <c r="G32" s="204" t="n">
        <f aca="false">$E$11*G30</f>
        <v>0</v>
      </c>
      <c r="H32" s="204" t="n">
        <f aca="false">$E$11*H30</f>
        <v>0</v>
      </c>
      <c r="I32" s="204" t="n">
        <f aca="false">$E$11*I30</f>
        <v>0</v>
      </c>
      <c r="J32" s="204" t="n">
        <f aca="false">$E$11*J30</f>
        <v>0</v>
      </c>
      <c r="K32" s="204" t="n">
        <f aca="false">$E$11*K30</f>
        <v>0</v>
      </c>
      <c r="L32" s="204" t="n">
        <f aca="false">$E$11*L30</f>
        <v>0</v>
      </c>
      <c r="M32" s="204" t="n">
        <f aca="false">$E$11*M30</f>
        <v>0</v>
      </c>
      <c r="N32" s="204" t="n">
        <f aca="false">$E$11*N30</f>
        <v>0</v>
      </c>
      <c r="O32" s="201" t="n">
        <f aca="false">SUM(C32:N32)</f>
        <v>0</v>
      </c>
      <c r="P32" s="190" t="n">
        <f aca="false">IF(O31=0,0,O32/O31)</f>
        <v>0</v>
      </c>
      <c r="Q32" s="186" t="n">
        <f aca="false">IF($O$54=0,0,O32/$O$54)</f>
        <v>0</v>
      </c>
      <c r="R32" s="95"/>
      <c r="S32" s="95"/>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8" hidden="false" customHeight="false" outlineLevel="0" collapsed="false">
      <c r="A33" s="0"/>
      <c r="B33" s="183" t="s">
        <v>105</v>
      </c>
      <c r="C33" s="191" t="n">
        <f aca="false">C31-C32</f>
        <v>0</v>
      </c>
      <c r="D33" s="191" t="n">
        <f aca="false">D31-D32</f>
        <v>0</v>
      </c>
      <c r="E33" s="191" t="n">
        <f aca="false">E31-E32</f>
        <v>0</v>
      </c>
      <c r="F33" s="191" t="n">
        <f aca="false">F31-F32</f>
        <v>0</v>
      </c>
      <c r="G33" s="191" t="n">
        <f aca="false">G31-G32</f>
        <v>0</v>
      </c>
      <c r="H33" s="191" t="n">
        <f aca="false">H31-H32</f>
        <v>0</v>
      </c>
      <c r="I33" s="191" t="n">
        <f aca="false">I31-I32</f>
        <v>0</v>
      </c>
      <c r="J33" s="191" t="n">
        <f aca="false">J31-J32</f>
        <v>0</v>
      </c>
      <c r="K33" s="191" t="n">
        <f aca="false">K31-K32</f>
        <v>0</v>
      </c>
      <c r="L33" s="191" t="n">
        <f aca="false">L31-L32</f>
        <v>0</v>
      </c>
      <c r="M33" s="191" t="n">
        <f aca="false">M31-M32</f>
        <v>0</v>
      </c>
      <c r="N33" s="191" t="n">
        <f aca="false">N31-N32</f>
        <v>0</v>
      </c>
      <c r="O33" s="201" t="n">
        <f aca="false">SUM(C33:N33)</f>
        <v>0</v>
      </c>
      <c r="P33" s="190" t="n">
        <f aca="false">IF(O31=0,0,O33/O31)</f>
        <v>0</v>
      </c>
      <c r="Q33" s="186" t="n">
        <f aca="false">IF($O$55=0,0,O33/$O$55)</f>
        <v>0</v>
      </c>
      <c r="R33" s="95"/>
      <c r="S33" s="95"/>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s="96" customFormat="true" ht="13.8" hidden="false" customHeight="false" outlineLevel="0" collapsed="false">
      <c r="B34" s="205"/>
      <c r="C34" s="194"/>
      <c r="D34" s="194"/>
      <c r="E34" s="194"/>
      <c r="F34" s="194"/>
      <c r="G34" s="194"/>
      <c r="H34" s="194"/>
      <c r="I34" s="194"/>
      <c r="J34" s="194"/>
      <c r="K34" s="194"/>
      <c r="L34" s="194"/>
      <c r="M34" s="194"/>
      <c r="N34" s="194"/>
      <c r="O34" s="195"/>
      <c r="P34" s="113"/>
      <c r="Q34" s="196"/>
    </row>
    <row r="35" s="95" customFormat="true" ht="13.8" hidden="false" customHeight="false" outlineLevel="0" collapsed="false">
      <c r="B35" s="197" t="str">
        <f aca="false">IF(ISBLANK(B12), "Product 4", B12)</f>
        <v>Product 4</v>
      </c>
      <c r="C35" s="198"/>
      <c r="D35" s="198"/>
      <c r="E35" s="198"/>
      <c r="F35" s="198"/>
      <c r="G35" s="198"/>
      <c r="H35" s="198"/>
      <c r="I35" s="198"/>
      <c r="J35" s="198"/>
      <c r="K35" s="198"/>
      <c r="L35" s="198"/>
      <c r="M35" s="198"/>
      <c r="N35" s="198"/>
      <c r="O35" s="182"/>
      <c r="P35" s="113"/>
      <c r="Q35" s="196"/>
    </row>
    <row r="36" customFormat="false" ht="13.8" hidden="false" customHeight="false" outlineLevel="0" collapsed="false">
      <c r="A36" s="0"/>
      <c r="B36" s="183" t="str">
        <f aca="false">IF(ISBLANK(C12), "Units Sold", Unit4&amp; " Sold")</f>
        <v>Units Sold</v>
      </c>
      <c r="C36" s="206"/>
      <c r="D36" s="206"/>
      <c r="E36" s="206"/>
      <c r="F36" s="206"/>
      <c r="G36" s="206"/>
      <c r="H36" s="206"/>
      <c r="I36" s="206"/>
      <c r="J36" s="206"/>
      <c r="K36" s="206"/>
      <c r="L36" s="206"/>
      <c r="M36" s="206"/>
      <c r="N36" s="206"/>
      <c r="O36" s="199" t="n">
        <f aca="false">SUM(C36:N36)</f>
        <v>0</v>
      </c>
      <c r="P36" s="113"/>
      <c r="Q36" s="186" t="n">
        <f aca="false">IF($O$52=0,0,O36/$O$52)</f>
        <v>0</v>
      </c>
      <c r="R36" s="95"/>
      <c r="S36" s="95"/>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3.8" hidden="false" customHeight="false" outlineLevel="0" collapsed="false">
      <c r="A37" s="0"/>
      <c r="B37" s="200" t="s">
        <v>102</v>
      </c>
      <c r="C37" s="204" t="n">
        <f aca="false">$D$12*C36</f>
        <v>0</v>
      </c>
      <c r="D37" s="204" t="n">
        <f aca="false">$D$12*D36</f>
        <v>0</v>
      </c>
      <c r="E37" s="204" t="n">
        <f aca="false">$D$12*E36</f>
        <v>0</v>
      </c>
      <c r="F37" s="204" t="n">
        <f aca="false">$D$12*F36</f>
        <v>0</v>
      </c>
      <c r="G37" s="204" t="n">
        <f aca="false">$D$12*G36</f>
        <v>0</v>
      </c>
      <c r="H37" s="204" t="n">
        <f aca="false">$D$12*H36</f>
        <v>0</v>
      </c>
      <c r="I37" s="204" t="n">
        <f aca="false">$D$12*I36</f>
        <v>0</v>
      </c>
      <c r="J37" s="204" t="n">
        <f aca="false">$D$12*J36</f>
        <v>0</v>
      </c>
      <c r="K37" s="204" t="n">
        <f aca="false">$D$12*K36</f>
        <v>0</v>
      </c>
      <c r="L37" s="204" t="n">
        <f aca="false">$D$12*L36</f>
        <v>0</v>
      </c>
      <c r="M37" s="204" t="n">
        <f aca="false">$D$12*M36</f>
        <v>0</v>
      </c>
      <c r="N37" s="204" t="n">
        <f aca="false">$D$12*N36</f>
        <v>0</v>
      </c>
      <c r="O37" s="189" t="n">
        <f aca="false">SUM(C37:N37)</f>
        <v>0</v>
      </c>
      <c r="P37" s="190" t="n">
        <f aca="false">(P38+P39)</f>
        <v>0</v>
      </c>
      <c r="Q37" s="186" t="n">
        <f aca="false">IF($O$53=0,0,O37/$O$53)</f>
        <v>0</v>
      </c>
      <c r="R37" s="95"/>
      <c r="S37" s="95"/>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8" hidden="false" customHeight="false" outlineLevel="0" collapsed="false">
      <c r="A38" s="0"/>
      <c r="B38" s="200" t="s">
        <v>103</v>
      </c>
      <c r="C38" s="204" t="n">
        <f aca="false">$E$12*C36</f>
        <v>0</v>
      </c>
      <c r="D38" s="204" t="n">
        <f aca="false">$E$12*D36</f>
        <v>0</v>
      </c>
      <c r="E38" s="204" t="n">
        <f aca="false">$E$12*E36</f>
        <v>0</v>
      </c>
      <c r="F38" s="204" t="n">
        <f aca="false">$E$12*F36</f>
        <v>0</v>
      </c>
      <c r="G38" s="204" t="n">
        <f aca="false">$E$12*G36</f>
        <v>0</v>
      </c>
      <c r="H38" s="204" t="n">
        <f aca="false">$E$12*H36</f>
        <v>0</v>
      </c>
      <c r="I38" s="204" t="n">
        <f aca="false">$E$12*I36</f>
        <v>0</v>
      </c>
      <c r="J38" s="204" t="n">
        <f aca="false">$E$12*J36</f>
        <v>0</v>
      </c>
      <c r="K38" s="204" t="n">
        <f aca="false">$E$12*K36</f>
        <v>0</v>
      </c>
      <c r="L38" s="204" t="n">
        <f aca="false">$E$12*L36</f>
        <v>0</v>
      </c>
      <c r="M38" s="204" t="n">
        <f aca="false">$E$12*M36</f>
        <v>0</v>
      </c>
      <c r="N38" s="204" t="n">
        <f aca="false">$E$12*N36</f>
        <v>0</v>
      </c>
      <c r="O38" s="189" t="n">
        <f aca="false">SUM(C38:N38)</f>
        <v>0</v>
      </c>
      <c r="P38" s="190" t="n">
        <f aca="false">IF(O37=0,0,O38/O37)</f>
        <v>0</v>
      </c>
      <c r="Q38" s="186" t="n">
        <f aca="false">IF($O$54=0,0,O38/$O$54)</f>
        <v>0</v>
      </c>
      <c r="R38" s="95"/>
      <c r="S38" s="95"/>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s="96" customFormat="true" ht="13.8" hidden="false" customHeight="false" outlineLevel="0" collapsed="false">
      <c r="B39" s="183" t="s">
        <v>105</v>
      </c>
      <c r="C39" s="191" t="n">
        <f aca="false">C37-C38</f>
        <v>0</v>
      </c>
      <c r="D39" s="191" t="n">
        <f aca="false">D37-D38</f>
        <v>0</v>
      </c>
      <c r="E39" s="191" t="n">
        <f aca="false">E37-E38</f>
        <v>0</v>
      </c>
      <c r="F39" s="191" t="n">
        <f aca="false">F37-F38</f>
        <v>0</v>
      </c>
      <c r="G39" s="191" t="n">
        <f aca="false">G37-G38</f>
        <v>0</v>
      </c>
      <c r="H39" s="191" t="n">
        <f aca="false">H37-H38</f>
        <v>0</v>
      </c>
      <c r="I39" s="191" t="n">
        <f aca="false">I37-I38</f>
        <v>0</v>
      </c>
      <c r="J39" s="191" t="n">
        <f aca="false">J37-J38</f>
        <v>0</v>
      </c>
      <c r="K39" s="191" t="n">
        <f aca="false">K37-K38</f>
        <v>0</v>
      </c>
      <c r="L39" s="191" t="n">
        <f aca="false">L37-L38</f>
        <v>0</v>
      </c>
      <c r="M39" s="191" t="n">
        <f aca="false">M37-M38</f>
        <v>0</v>
      </c>
      <c r="N39" s="191" t="n">
        <f aca="false">N37-N38</f>
        <v>0</v>
      </c>
      <c r="O39" s="189" t="n">
        <f aca="false">SUM(C39:N39)</f>
        <v>0</v>
      </c>
      <c r="P39" s="190" t="n">
        <f aca="false">IF(O37=0,0,O39/O37)</f>
        <v>0</v>
      </c>
      <c r="Q39" s="186" t="n">
        <f aca="false">IF($O$55=0,0,O39/$O$55)</f>
        <v>0</v>
      </c>
    </row>
    <row r="40" customFormat="false" ht="13.8" hidden="false" customHeight="false" outlineLevel="0" collapsed="false">
      <c r="A40" s="96"/>
      <c r="B40" s="205"/>
      <c r="C40" s="194"/>
      <c r="D40" s="194"/>
      <c r="E40" s="194"/>
      <c r="F40" s="207"/>
      <c r="G40" s="207"/>
      <c r="H40" s="207"/>
      <c r="I40" s="207"/>
      <c r="J40" s="207"/>
      <c r="K40" s="207"/>
      <c r="L40" s="207"/>
      <c r="M40" s="207"/>
      <c r="N40" s="207"/>
      <c r="O40" s="208"/>
      <c r="P40" s="113"/>
      <c r="Q40" s="196"/>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8" hidden="false" customHeight="false" outlineLevel="0" collapsed="false">
      <c r="A41" s="0"/>
      <c r="B41" s="197" t="str">
        <f aca="false">IF(ISBLANK(B13), "Product 5", B13)</f>
        <v>Product 5</v>
      </c>
      <c r="C41" s="202"/>
      <c r="D41" s="202"/>
      <c r="E41" s="202"/>
      <c r="F41" s="203"/>
      <c r="G41" s="203"/>
      <c r="H41" s="203"/>
      <c r="I41" s="203"/>
      <c r="J41" s="203"/>
      <c r="K41" s="203"/>
      <c r="L41" s="203"/>
      <c r="M41" s="203"/>
      <c r="N41" s="203"/>
      <c r="O41" s="182"/>
      <c r="P41" s="113"/>
      <c r="Q41" s="196"/>
      <c r="R41" s="95"/>
      <c r="S41" s="95"/>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s="95" customFormat="true" ht="13.8" hidden="false" customHeight="false" outlineLevel="0" collapsed="false">
      <c r="B42" s="183" t="str">
        <f aca="false">IF(ISBLANK(C13), "Units Sold", Unit5&amp; " Sold")</f>
        <v>Units Sold</v>
      </c>
      <c r="C42" s="184"/>
      <c r="D42" s="184"/>
      <c r="E42" s="184"/>
      <c r="F42" s="184"/>
      <c r="G42" s="184"/>
      <c r="H42" s="184"/>
      <c r="I42" s="184"/>
      <c r="J42" s="184"/>
      <c r="K42" s="184"/>
      <c r="L42" s="184"/>
      <c r="M42" s="184"/>
      <c r="N42" s="184"/>
      <c r="O42" s="185" t="n">
        <f aca="false">SUM(C42:N42)</f>
        <v>0</v>
      </c>
      <c r="P42" s="113"/>
      <c r="Q42" s="186" t="n">
        <f aca="false">IF($O$52=0,0,O42/$O$52)</f>
        <v>0</v>
      </c>
    </row>
    <row r="43" customFormat="false" ht="13.8" hidden="false" customHeight="false" outlineLevel="0" collapsed="false">
      <c r="A43" s="0"/>
      <c r="B43" s="200" t="s">
        <v>102</v>
      </c>
      <c r="C43" s="204" t="n">
        <f aca="false">$D$13*C42</f>
        <v>0</v>
      </c>
      <c r="D43" s="204" t="n">
        <f aca="false">$D$13*D42</f>
        <v>0</v>
      </c>
      <c r="E43" s="204" t="n">
        <f aca="false">$D$13*E42</f>
        <v>0</v>
      </c>
      <c r="F43" s="204" t="n">
        <f aca="false">$D$13*F42</f>
        <v>0</v>
      </c>
      <c r="G43" s="204" t="n">
        <f aca="false">$D$13*G42</f>
        <v>0</v>
      </c>
      <c r="H43" s="204" t="n">
        <f aca="false">$D$13*H42</f>
        <v>0</v>
      </c>
      <c r="I43" s="204" t="n">
        <f aca="false">$D$13*I42</f>
        <v>0</v>
      </c>
      <c r="J43" s="204" t="n">
        <f aca="false">$D$13*J42</f>
        <v>0</v>
      </c>
      <c r="K43" s="204" t="n">
        <f aca="false">$D$13*K42</f>
        <v>0</v>
      </c>
      <c r="L43" s="204" t="n">
        <f aca="false">$D$13*L42</f>
        <v>0</v>
      </c>
      <c r="M43" s="204" t="n">
        <f aca="false">$D$13*M42</f>
        <v>0</v>
      </c>
      <c r="N43" s="204" t="n">
        <f aca="false">$D$13*N42</f>
        <v>0</v>
      </c>
      <c r="O43" s="189" t="n">
        <f aca="false">SUM(C43:N43)</f>
        <v>0</v>
      </c>
      <c r="P43" s="190" t="n">
        <f aca="false">(P44+P45)</f>
        <v>0</v>
      </c>
      <c r="Q43" s="186" t="n">
        <f aca="false">IF($O$53=0,0,O43/$O$53)</f>
        <v>0</v>
      </c>
      <c r="R43" s="95"/>
      <c r="S43" s="95"/>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8" hidden="false" customHeight="false" outlineLevel="0" collapsed="false">
      <c r="A44" s="0"/>
      <c r="B44" s="200" t="s">
        <v>103</v>
      </c>
      <c r="C44" s="204" t="n">
        <f aca="false">$E$13*C42</f>
        <v>0</v>
      </c>
      <c r="D44" s="204" t="n">
        <f aca="false">$E$13*D42</f>
        <v>0</v>
      </c>
      <c r="E44" s="204" t="n">
        <f aca="false">$E$13*E42</f>
        <v>0</v>
      </c>
      <c r="F44" s="204" t="n">
        <f aca="false">$E$13*F42</f>
        <v>0</v>
      </c>
      <c r="G44" s="204" t="n">
        <f aca="false">$E$13*G42</f>
        <v>0</v>
      </c>
      <c r="H44" s="204" t="n">
        <f aca="false">$E$13*H42</f>
        <v>0</v>
      </c>
      <c r="I44" s="204" t="n">
        <f aca="false">$E$13*I42</f>
        <v>0</v>
      </c>
      <c r="J44" s="204" t="n">
        <f aca="false">$E$13*J42</f>
        <v>0</v>
      </c>
      <c r="K44" s="204" t="n">
        <f aca="false">$E$13*K42</f>
        <v>0</v>
      </c>
      <c r="L44" s="204" t="n">
        <f aca="false">$E$13*L42</f>
        <v>0</v>
      </c>
      <c r="M44" s="204" t="n">
        <f aca="false">$E$13*M42</f>
        <v>0</v>
      </c>
      <c r="N44" s="204" t="n">
        <f aca="false">$E$13*N42</f>
        <v>0</v>
      </c>
      <c r="O44" s="189" t="n">
        <f aca="false">SUM(C44:N44)</f>
        <v>0</v>
      </c>
      <c r="P44" s="190" t="n">
        <f aca="false">IF(O43=0,0,O44/O43)</f>
        <v>0</v>
      </c>
      <c r="Q44" s="186" t="n">
        <f aca="false">IF($O$54=0,0,O44/$O$54)</f>
        <v>0</v>
      </c>
      <c r="R44" s="95"/>
      <c r="S44" s="95"/>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3.8" hidden="false" customHeight="false" outlineLevel="0" collapsed="false">
      <c r="A45" s="0"/>
      <c r="B45" s="183" t="s">
        <v>105</v>
      </c>
      <c r="C45" s="209" t="n">
        <f aca="false">C43-C44</f>
        <v>0</v>
      </c>
      <c r="D45" s="209" t="n">
        <f aca="false">D43-D44</f>
        <v>0</v>
      </c>
      <c r="E45" s="209" t="n">
        <f aca="false">E43-E44</f>
        <v>0</v>
      </c>
      <c r="F45" s="209" t="n">
        <f aca="false">F43-F44</f>
        <v>0</v>
      </c>
      <c r="G45" s="209" t="n">
        <f aca="false">G43-G44</f>
        <v>0</v>
      </c>
      <c r="H45" s="209" t="n">
        <f aca="false">H43-H44</f>
        <v>0</v>
      </c>
      <c r="I45" s="209" t="n">
        <f aca="false">I43-I44</f>
        <v>0</v>
      </c>
      <c r="J45" s="209" t="n">
        <f aca="false">J43-J44</f>
        <v>0</v>
      </c>
      <c r="K45" s="209" t="n">
        <f aca="false">K43-K44</f>
        <v>0</v>
      </c>
      <c r="L45" s="209" t="n">
        <f aca="false">L43-L44</f>
        <v>0</v>
      </c>
      <c r="M45" s="209" t="n">
        <f aca="false">M43-M44</f>
        <v>0</v>
      </c>
      <c r="N45" s="209" t="n">
        <f aca="false">N43-N44</f>
        <v>0</v>
      </c>
      <c r="O45" s="189" t="n">
        <f aca="false">SUM(C45:N45)</f>
        <v>0</v>
      </c>
      <c r="P45" s="190" t="n">
        <f aca="false">IF(O43=0,0,O45/O43)</f>
        <v>0</v>
      </c>
      <c r="Q45" s="186" t="n">
        <f aca="false">IF($O$55=0,0,O45/$O$55)</f>
        <v>0</v>
      </c>
      <c r="R45" s="95"/>
      <c r="S45" s="95"/>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s="96" customFormat="true" ht="13.8" hidden="false" customHeight="false" outlineLevel="0" collapsed="false">
      <c r="B46" s="205"/>
      <c r="C46" s="210"/>
      <c r="D46" s="210"/>
      <c r="E46" s="210"/>
      <c r="F46" s="210"/>
      <c r="G46" s="210"/>
      <c r="H46" s="210"/>
      <c r="I46" s="210"/>
      <c r="J46" s="210"/>
      <c r="K46" s="210"/>
      <c r="L46" s="210"/>
      <c r="M46" s="210"/>
      <c r="N46" s="210"/>
      <c r="O46" s="208"/>
      <c r="P46" s="113"/>
      <c r="Q46" s="196"/>
    </row>
    <row r="47" s="95" customFormat="true" ht="13.8" hidden="false" customHeight="false" outlineLevel="0" collapsed="false">
      <c r="B47" s="197" t="str">
        <f aca="false">IF(ISBLANK(B14), "Product 6", B14)</f>
        <v>Product 6</v>
      </c>
      <c r="C47" s="211"/>
      <c r="D47" s="211"/>
      <c r="E47" s="211"/>
      <c r="F47" s="211"/>
      <c r="G47" s="211"/>
      <c r="H47" s="211"/>
      <c r="I47" s="211"/>
      <c r="J47" s="211"/>
      <c r="K47" s="211"/>
      <c r="L47" s="211"/>
      <c r="M47" s="211"/>
      <c r="N47" s="211"/>
      <c r="O47" s="182"/>
      <c r="P47" s="113"/>
      <c r="Q47" s="196"/>
    </row>
    <row r="48" customFormat="false" ht="13.8" hidden="false" customHeight="false" outlineLevel="0" collapsed="false">
      <c r="A48" s="0"/>
      <c r="B48" s="183" t="str">
        <f aca="false">IF(ISBLANK(C14), "Units Sold", Unit6&amp; " Sold")</f>
        <v>Units Sold</v>
      </c>
      <c r="C48" s="206"/>
      <c r="D48" s="206"/>
      <c r="E48" s="206"/>
      <c r="F48" s="206"/>
      <c r="G48" s="206"/>
      <c r="H48" s="206"/>
      <c r="I48" s="206"/>
      <c r="J48" s="206"/>
      <c r="K48" s="206"/>
      <c r="L48" s="206"/>
      <c r="M48" s="206"/>
      <c r="N48" s="206"/>
      <c r="O48" s="185" t="n">
        <f aca="false">SUM(C48:N48)</f>
        <v>0</v>
      </c>
      <c r="P48" s="113"/>
      <c r="Q48" s="186" t="n">
        <f aca="false">IF($O$52=0,0,O48/$O$52)</f>
        <v>0</v>
      </c>
      <c r="R48" s="95"/>
      <c r="S48" s="95"/>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13.8" hidden="false" customHeight="false" outlineLevel="0" collapsed="false">
      <c r="A49" s="0"/>
      <c r="B49" s="200" t="s">
        <v>102</v>
      </c>
      <c r="C49" s="212" t="n">
        <f aca="false">$D$14*C48</f>
        <v>0</v>
      </c>
      <c r="D49" s="212" t="n">
        <f aca="false">$D$14*D48</f>
        <v>0</v>
      </c>
      <c r="E49" s="212" t="n">
        <f aca="false">$D$14*E48</f>
        <v>0</v>
      </c>
      <c r="F49" s="212" t="n">
        <f aca="false">$D$14*F48</f>
        <v>0</v>
      </c>
      <c r="G49" s="212" t="n">
        <f aca="false">$D$14*G48</f>
        <v>0</v>
      </c>
      <c r="H49" s="212" t="n">
        <f aca="false">$D$14*H48</f>
        <v>0</v>
      </c>
      <c r="I49" s="212" t="n">
        <f aca="false">$D$14*I48</f>
        <v>0</v>
      </c>
      <c r="J49" s="212" t="n">
        <f aca="false">$D$14*J48</f>
        <v>0</v>
      </c>
      <c r="K49" s="212" t="n">
        <f aca="false">$D$14*K48</f>
        <v>0</v>
      </c>
      <c r="L49" s="212" t="n">
        <f aca="false">$D$14*L48</f>
        <v>0</v>
      </c>
      <c r="M49" s="212" t="n">
        <f aca="false">$D$14*M48</f>
        <v>0</v>
      </c>
      <c r="N49" s="212" t="n">
        <f aca="false">$D$14*N48</f>
        <v>0</v>
      </c>
      <c r="O49" s="189" t="n">
        <f aca="false">SUM(C49:N49)</f>
        <v>0</v>
      </c>
      <c r="P49" s="190" t="n">
        <f aca="false">(P50+P51)</f>
        <v>0</v>
      </c>
      <c r="Q49" s="186" t="n">
        <f aca="false">IF($O$53=0,0,O49/$O$53)</f>
        <v>0</v>
      </c>
      <c r="R49" s="95"/>
      <c r="S49" s="95"/>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13.8" hidden="false" customHeight="false" outlineLevel="0" collapsed="false">
      <c r="A50" s="0"/>
      <c r="B50" s="213" t="s">
        <v>103</v>
      </c>
      <c r="C50" s="212" t="n">
        <f aca="false">$E$14*C48</f>
        <v>0</v>
      </c>
      <c r="D50" s="212" t="n">
        <f aca="false">$E$14*D48</f>
        <v>0</v>
      </c>
      <c r="E50" s="212" t="n">
        <f aca="false">$E$14*E48</f>
        <v>0</v>
      </c>
      <c r="F50" s="212" t="n">
        <f aca="false">$E$14*F48</f>
        <v>0</v>
      </c>
      <c r="G50" s="212" t="n">
        <f aca="false">$E$14*G48</f>
        <v>0</v>
      </c>
      <c r="H50" s="212" t="n">
        <f aca="false">$E$14*H48</f>
        <v>0</v>
      </c>
      <c r="I50" s="212" t="n">
        <f aca="false">$E$14*I48</f>
        <v>0</v>
      </c>
      <c r="J50" s="212" t="n">
        <f aca="false">$E$14*J48</f>
        <v>0</v>
      </c>
      <c r="K50" s="212" t="n">
        <f aca="false">$E$14*K48</f>
        <v>0</v>
      </c>
      <c r="L50" s="212" t="n">
        <f aca="false">$E$14*L48</f>
        <v>0</v>
      </c>
      <c r="M50" s="212" t="n">
        <f aca="false">$E$14*M48</f>
        <v>0</v>
      </c>
      <c r="N50" s="212" t="n">
        <f aca="false">$E$14*N48</f>
        <v>0</v>
      </c>
      <c r="O50" s="189" t="n">
        <f aca="false">SUM(C50:N50)</f>
        <v>0</v>
      </c>
      <c r="P50" s="190" t="n">
        <f aca="false">IF(O49=0,0,O50/O49)</f>
        <v>0</v>
      </c>
      <c r="Q50" s="186" t="n">
        <f aca="false">IF($O$54=0,0,O50/$O$54)</f>
        <v>0</v>
      </c>
      <c r="R50" s="95"/>
      <c r="S50" s="95"/>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3.8" hidden="false" customHeight="false" outlineLevel="0" collapsed="false">
      <c r="A51" s="0"/>
      <c r="B51" s="187" t="s">
        <v>105</v>
      </c>
      <c r="C51" s="209" t="n">
        <f aca="false">C49-C50</f>
        <v>0</v>
      </c>
      <c r="D51" s="209" t="n">
        <f aca="false">D49-D50</f>
        <v>0</v>
      </c>
      <c r="E51" s="209" t="n">
        <f aca="false">E49-E50</f>
        <v>0</v>
      </c>
      <c r="F51" s="209" t="n">
        <f aca="false">F49-F50</f>
        <v>0</v>
      </c>
      <c r="G51" s="209" t="n">
        <f aca="false">G49-G50</f>
        <v>0</v>
      </c>
      <c r="H51" s="209" t="n">
        <f aca="false">H49-H50</f>
        <v>0</v>
      </c>
      <c r="I51" s="209" t="n">
        <f aca="false">I49-I50</f>
        <v>0</v>
      </c>
      <c r="J51" s="209" t="n">
        <f aca="false">J49-J50</f>
        <v>0</v>
      </c>
      <c r="K51" s="209" t="n">
        <f aca="false">K49-K50</f>
        <v>0</v>
      </c>
      <c r="L51" s="209" t="n">
        <f aca="false">L49-L50</f>
        <v>0</v>
      </c>
      <c r="M51" s="209" t="n">
        <f aca="false">M49-M50</f>
        <v>0</v>
      </c>
      <c r="N51" s="209" t="n">
        <f aca="false">N49-N50</f>
        <v>0</v>
      </c>
      <c r="O51" s="189" t="n">
        <f aca="false">SUM(C51:N51)</f>
        <v>0</v>
      </c>
      <c r="P51" s="190" t="n">
        <f aca="false">IF(O49=0,0,O51/O49)</f>
        <v>0</v>
      </c>
      <c r="Q51" s="186" t="n">
        <f aca="false">IF($O$55=0,0,O51/$O$55)</f>
        <v>0</v>
      </c>
      <c r="R51" s="95"/>
      <c r="S51" s="95"/>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3.8" hidden="false" customHeight="false" outlineLevel="0" collapsed="false">
      <c r="A52" s="0"/>
      <c r="B52" s="214" t="s">
        <v>106</v>
      </c>
      <c r="C52" s="215" t="n">
        <f aca="false">C18+C24+C30+C36+C42+C48</f>
        <v>0</v>
      </c>
      <c r="D52" s="215" t="n">
        <f aca="false">D18+D24+D30+D36+D42+D48</f>
        <v>0</v>
      </c>
      <c r="E52" s="215" t="n">
        <f aca="false">E18+E24+E30+E36+E42+E48</f>
        <v>0</v>
      </c>
      <c r="F52" s="215" t="n">
        <f aca="false">F18+F24+F30+F36+F42+F48</f>
        <v>0</v>
      </c>
      <c r="G52" s="215" t="n">
        <f aca="false">G18+G24+G30+G36+G42+G48</f>
        <v>0</v>
      </c>
      <c r="H52" s="215" t="n">
        <f aca="false">H18+H24+H30+H36+H42+H48</f>
        <v>0</v>
      </c>
      <c r="I52" s="215" t="n">
        <f aca="false">I18+I24+I30+I36+I42+I48</f>
        <v>0</v>
      </c>
      <c r="J52" s="215" t="n">
        <f aca="false">J18+J24+J30+J36+J42+J48</f>
        <v>0</v>
      </c>
      <c r="K52" s="215" t="n">
        <f aca="false">K18+K24+K30+K36+K42+K48</f>
        <v>0</v>
      </c>
      <c r="L52" s="215" t="n">
        <f aca="false">L18+L24+L30+L36+L42+L48</f>
        <v>0</v>
      </c>
      <c r="M52" s="215" t="n">
        <f aca="false">M18+M24+M30+M36+M42+M48</f>
        <v>0</v>
      </c>
      <c r="N52" s="215" t="n">
        <f aca="false">N18+N24+N30+N36+N42+N48</f>
        <v>0</v>
      </c>
      <c r="O52" s="185" t="n">
        <f aca="false">SUM(C52:N52)</f>
        <v>0</v>
      </c>
      <c r="P52" s="113"/>
      <c r="Q52" s="196"/>
      <c r="R52" s="95"/>
      <c r="S52" s="95"/>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3.8" hidden="false" customHeight="false" outlineLevel="0" collapsed="false">
      <c r="A53" s="0"/>
      <c r="B53" s="214" t="s">
        <v>102</v>
      </c>
      <c r="C53" s="216" t="n">
        <f aca="false">C19+C25+C31+C37+C43+C49</f>
        <v>0</v>
      </c>
      <c r="D53" s="216" t="n">
        <f aca="false">D19+D25+D31+D37+D43+D49</f>
        <v>0</v>
      </c>
      <c r="E53" s="216" t="n">
        <f aca="false">E19+E25+E31+E37+E43+E49</f>
        <v>0</v>
      </c>
      <c r="F53" s="216" t="n">
        <f aca="false">F19+F25+F31+F37+F43+F49</f>
        <v>0</v>
      </c>
      <c r="G53" s="216" t="n">
        <f aca="false">G19+G25+G31+G37+G43+G49</f>
        <v>0</v>
      </c>
      <c r="H53" s="216" t="n">
        <f aca="false">H19+H25+H31+H37+H43+H49</f>
        <v>0</v>
      </c>
      <c r="I53" s="216" t="n">
        <f aca="false">I19+I25+I31+I37+I43+I49</f>
        <v>0</v>
      </c>
      <c r="J53" s="216" t="n">
        <f aca="false">J19+J25+J31+J37+J43+J49</f>
        <v>0</v>
      </c>
      <c r="K53" s="216" t="n">
        <f aca="false">K19+K25+K31+K37+K43+K49</f>
        <v>0</v>
      </c>
      <c r="L53" s="216" t="n">
        <f aca="false">L19+L25+L31+L37+L43+L49</f>
        <v>0</v>
      </c>
      <c r="M53" s="216" t="n">
        <f aca="false">M19+M25+M31+M37+M43+M49</f>
        <v>0</v>
      </c>
      <c r="N53" s="216" t="n">
        <f aca="false">N19+N25+N31+N37+N43+N49</f>
        <v>0</v>
      </c>
      <c r="O53" s="189" t="n">
        <f aca="false">SUM(C53:N53)</f>
        <v>0</v>
      </c>
      <c r="P53" s="113"/>
      <c r="Q53" s="196"/>
      <c r="R53" s="95"/>
      <c r="S53" s="95"/>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3.8" hidden="false" customHeight="false" outlineLevel="0" collapsed="false">
      <c r="A54" s="0"/>
      <c r="B54" s="217" t="s">
        <v>107</v>
      </c>
      <c r="C54" s="218" t="n">
        <f aca="false">C20+C26+C32+C38+C44+C50</f>
        <v>0</v>
      </c>
      <c r="D54" s="218" t="n">
        <f aca="false">D20+D26+D32+D38+D44+D50</f>
        <v>0</v>
      </c>
      <c r="E54" s="218" t="n">
        <f aca="false">E20+E26+E32+E38+E44+E50</f>
        <v>0</v>
      </c>
      <c r="F54" s="218" t="n">
        <f aca="false">F20+F26+F32+F38+F44+F50</f>
        <v>0</v>
      </c>
      <c r="G54" s="218" t="n">
        <f aca="false">G20+G26+G32+G38+G44+G50</f>
        <v>0</v>
      </c>
      <c r="H54" s="218" t="n">
        <f aca="false">H20+H26+H32+H38+H44+H50</f>
        <v>0</v>
      </c>
      <c r="I54" s="218" t="n">
        <f aca="false">I20+I26+I32+I38+I44+I50</f>
        <v>0</v>
      </c>
      <c r="J54" s="218" t="n">
        <f aca="false">J20+J26+J32+J38+J44+J50</f>
        <v>0</v>
      </c>
      <c r="K54" s="218" t="n">
        <f aca="false">K20+K26+K32+K38+K44+K50</f>
        <v>0</v>
      </c>
      <c r="L54" s="218" t="n">
        <f aca="false">L20+L26+L32+L38+L44+L50</f>
        <v>0</v>
      </c>
      <c r="M54" s="218" t="n">
        <f aca="false">M20+M26+M32+M38+M44+M50</f>
        <v>0</v>
      </c>
      <c r="N54" s="218" t="n">
        <f aca="false">N20+N26+N32+N38+N44+N50</f>
        <v>0</v>
      </c>
      <c r="O54" s="189" t="n">
        <f aca="false">SUM(C54:N54)</f>
        <v>0</v>
      </c>
      <c r="P54" s="113"/>
      <c r="Q54" s="196"/>
      <c r="R54" s="95"/>
      <c r="S54" s="95"/>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13.8" hidden="false" customHeight="false" outlineLevel="0" collapsed="false">
      <c r="A55" s="0"/>
      <c r="B55" s="217" t="s">
        <v>104</v>
      </c>
      <c r="C55" s="219" t="n">
        <f aca="false">C53-C54</f>
        <v>0</v>
      </c>
      <c r="D55" s="219" t="n">
        <f aca="false">D53-D54</f>
        <v>0</v>
      </c>
      <c r="E55" s="219" t="n">
        <f aca="false">E53-E54</f>
        <v>0</v>
      </c>
      <c r="F55" s="219" t="n">
        <f aca="false">F53-F54</f>
        <v>0</v>
      </c>
      <c r="G55" s="219" t="n">
        <f aca="false">G53-G54</f>
        <v>0</v>
      </c>
      <c r="H55" s="219" t="n">
        <f aca="false">H53-H54</f>
        <v>0</v>
      </c>
      <c r="I55" s="219" t="n">
        <f aca="false">I53-I54</f>
        <v>0</v>
      </c>
      <c r="J55" s="219" t="n">
        <f aca="false">J53-J54</f>
        <v>0</v>
      </c>
      <c r="K55" s="219" t="n">
        <f aca="false">K53-K54</f>
        <v>0</v>
      </c>
      <c r="L55" s="219" t="n">
        <f aca="false">L53-L54</f>
        <v>0</v>
      </c>
      <c r="M55" s="219" t="n">
        <f aca="false">M53-M54</f>
        <v>0</v>
      </c>
      <c r="N55" s="219" t="n">
        <f aca="false">N53-N54</f>
        <v>0</v>
      </c>
      <c r="O55" s="201" t="n">
        <f aca="false">O21+O27+O33+O39+O45+O51</f>
        <v>0</v>
      </c>
      <c r="P55" s="113"/>
      <c r="Q55" s="196"/>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sheetData>
  <sheetProtection sheet="true" password="cc3d" objects="true" scenarios="true" formatColumns="false" formatRows="false"/>
  <mergeCells count="4">
    <mergeCell ref="B2:C2"/>
    <mergeCell ref="C5:D5"/>
    <mergeCell ref="B7:E7"/>
    <mergeCell ref="C15:N15"/>
  </mergeCells>
  <conditionalFormatting sqref="C18:N18">
    <cfRule type="expression" priority="2" aboveAverage="0" equalAverage="0" bottom="0" percent="0" rank="0" text="" dxfId="0">
      <formula>LEN(TRIM(C18))=0</formula>
    </cfRule>
  </conditionalFormatting>
  <conditionalFormatting sqref="C24:N24">
    <cfRule type="expression" priority="3" aboveAverage="0" equalAverage="0" bottom="0" percent="0" rank="0" text="" dxfId="1">
      <formula>LEN(TRIM(C24))=0</formula>
    </cfRule>
  </conditionalFormatting>
  <conditionalFormatting sqref="C30:N30,C36:N36,C42:N42,C48:N48">
    <cfRule type="expression" priority="4" aboveAverage="0" equalAverage="0" bottom="0" percent="0" rank="0" text="" dxfId="2">
      <formula>LEN(TRIM(C30))=0</formula>
    </cfRule>
  </conditionalFormatting>
  <conditionalFormatting sqref="B9:E14">
    <cfRule type="expression" priority="5" aboveAverage="0" equalAverage="0" bottom="0" percent="0" rank="0" text="" dxfId="3">
      <formula>LEN(TRIM(B9))=0</formula>
    </cfRule>
  </conditionalFormatting>
  <hyperlinks>
    <hyperlink ref="E8" location="'COGS Calculator'!A1" display="COGS Per Unit"/>
  </hyperlinks>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MT,Regular"&amp;12Sales Forecst Year 1</oddHeader>
    <oddFooter>&amp;L&amp;"Gill Sans MT,Regular"&amp;12&amp;F&amp;C&amp;"Gill Sans MT,Regular"&amp;12&amp;A&amp;R&amp;"Gill Sans MT,Regular"&amp;12&amp;D &amp;T</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1:49"/>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R43" activeCellId="0" sqref="R43"/>
    </sheetView>
  </sheetViews>
  <sheetFormatPr defaultRowHeight="13.8"/>
  <cols>
    <col collapsed="false" hidden="false" max="1" min="1" style="93" width="26.3279352226721"/>
    <col collapsed="false" hidden="false" max="2" min="2" style="93" width="30.663967611336"/>
    <col collapsed="false" hidden="false" max="3" min="3" style="93" width="9.33198380566802"/>
    <col collapsed="false" hidden="false" max="4" min="4" style="93" width="10.331983805668"/>
    <col collapsed="false" hidden="false" max="5" min="5" style="93" width="9.33198380566802"/>
    <col collapsed="false" hidden="false" max="6" min="6" style="95" width="9"/>
    <col collapsed="false" hidden="false" max="7" min="7" style="95" width="9.4412955465587"/>
    <col collapsed="false" hidden="false" max="8" min="8" style="93" width="9"/>
    <col collapsed="false" hidden="false" max="9" min="9" style="93" width="9.33198380566802"/>
    <col collapsed="false" hidden="false" max="10" min="10" style="93" width="9"/>
    <col collapsed="false" hidden="false" max="11" min="11" style="93" width="11.8906882591093"/>
    <col collapsed="false" hidden="false" max="12" min="12" style="93" width="9"/>
    <col collapsed="false" hidden="false" max="14" min="13" style="93" width="11.331983805668"/>
    <col collapsed="false" hidden="false" max="15" min="15" style="93" width="14.331983805668"/>
    <col collapsed="false" hidden="false" max="16" min="16" style="93" width="12.995951417004"/>
    <col collapsed="false" hidden="false" max="17" min="17" style="93" width="11.331983805668"/>
    <col collapsed="false" hidden="false" max="18" min="18" style="93" width="8.88259109311741"/>
    <col collapsed="false" hidden="false" max="19" min="19" style="93" width="10.331983805668"/>
    <col collapsed="false" hidden="false" max="25" min="20" style="93" width="8.88259109311741"/>
    <col collapsed="false" hidden="false" max="26" min="26" style="93" width="11.8906882591093"/>
    <col collapsed="false" hidden="false" max="27" min="27" style="93" width="8.88259109311741"/>
    <col collapsed="false" hidden="false" max="29" min="28" style="93" width="11.331983805668"/>
    <col collapsed="false" hidden="false" max="30" min="30" style="93" width="10.995951417004"/>
    <col collapsed="false" hidden="false" max="31" min="31" style="93" width="12.995951417004"/>
    <col collapsed="false" hidden="false" max="32" min="32" style="93" width="12.6599190283401"/>
    <col collapsed="false" hidden="false" max="1025" min="33" style="93" width="8.88259109311741"/>
  </cols>
  <sheetData>
    <row r="1" customFormat="false" ht="13.8" hidden="false" customHeight="false" outlineLevel="0" collapsed="false">
      <c r="A1" s="95"/>
      <c r="B1" s="95"/>
      <c r="C1" s="95"/>
      <c r="D1" s="95"/>
      <c r="E1" s="95"/>
      <c r="F1" s="0"/>
      <c r="G1" s="22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0"/>
      <c r="B2" s="100" t="s">
        <v>108</v>
      </c>
      <c r="C2" s="0"/>
      <c r="D2" s="95"/>
      <c r="E2" s="95"/>
      <c r="F2" s="0"/>
      <c r="G2" s="93"/>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21.75" hidden="false" customHeight="true" outlineLevel="0" collapsed="false">
      <c r="A3" s="0"/>
      <c r="B3" s="98"/>
      <c r="C3" s="98"/>
      <c r="D3" s="95"/>
      <c r="E3" s="95"/>
      <c r="F3" s="0"/>
      <c r="G3" s="93"/>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21.75" hidden="false" customHeight="true" outlineLevel="0" collapsed="false">
      <c r="A4" s="0"/>
      <c r="B4" s="100" t="s">
        <v>109</v>
      </c>
      <c r="C4" s="100" t="s">
        <v>9</v>
      </c>
      <c r="D4" s="95"/>
      <c r="E4" s="95"/>
      <c r="F4" s="0"/>
      <c r="G4" s="93"/>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21.75" hidden="false" customHeight="true" outlineLevel="0" collapsed="false">
      <c r="A5" s="0"/>
      <c r="B5" s="101" t="str">
        <f aca="false">IF(ISBLANK(Directions!C6), "Owner", Directions!C6)</f>
        <v>Owner</v>
      </c>
      <c r="C5" s="142" t="str">
        <f aca="false">IF(ISBLANK(Directions!D6), "Company 1", Directions!D6)</f>
        <v>Company 1</v>
      </c>
      <c r="D5" s="142"/>
      <c r="E5" s="95"/>
      <c r="F5" s="0"/>
      <c r="G5" s="22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21.75" hidden="false" customHeight="true" outlineLevel="0" collapsed="false">
      <c r="A6" s="0"/>
      <c r="B6" s="98"/>
      <c r="C6" s="98"/>
      <c r="D6" s="95"/>
      <c r="E6" s="95"/>
      <c r="F6" s="0"/>
      <c r="G6" s="22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3.8" hidden="false" customHeight="false" outlineLevel="0" collapsed="false">
      <c r="A7" s="0"/>
      <c r="B7" s="221" t="s">
        <v>110</v>
      </c>
      <c r="C7" s="222" t="n">
        <v>0.1</v>
      </c>
      <c r="D7" s="166"/>
      <c r="E7" s="165"/>
      <c r="F7" s="0"/>
      <c r="G7" s="220"/>
      <c r="H7" s="0"/>
      <c r="I7" s="0"/>
      <c r="J7" s="0"/>
      <c r="K7" s="0"/>
      <c r="L7" s="223"/>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3.8" hidden="false" customHeight="false" outlineLevel="0" collapsed="false">
      <c r="A8" s="0"/>
      <c r="B8" s="221" t="s">
        <v>111</v>
      </c>
      <c r="C8" s="222" t="n">
        <v>0.1</v>
      </c>
      <c r="D8" s="166"/>
      <c r="E8" s="165"/>
      <c r="F8" s="220"/>
      <c r="G8" s="220"/>
      <c r="H8" s="0"/>
      <c r="I8" s="0"/>
      <c r="J8" s="0"/>
      <c r="K8" s="0"/>
      <c r="L8" s="223"/>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s="95" customFormat="true" ht="13.8" hidden="false" customHeight="false" outlineLevel="0" collapsed="false">
      <c r="A9" s="165"/>
      <c r="B9" s="165"/>
      <c r="C9" s="220"/>
      <c r="D9" s="220"/>
      <c r="E9" s="220"/>
      <c r="F9" s="220"/>
      <c r="G9" s="220"/>
      <c r="H9" s="220"/>
      <c r="I9" s="220"/>
      <c r="J9" s="220"/>
      <c r="K9" s="220"/>
      <c r="L9" s="220"/>
      <c r="M9" s="220"/>
    </row>
    <row r="10" customFormat="false" ht="28.2" hidden="false" customHeight="false" outlineLevel="0" collapsed="false">
      <c r="A10" s="104" t="s">
        <v>95</v>
      </c>
      <c r="B10" s="104" t="s">
        <v>90</v>
      </c>
      <c r="C10" s="104" t="str">
        <f aca="false">'2a-PayrollYear1'!F7</f>
        <v>Month 1</v>
      </c>
      <c r="D10" s="104" t="str">
        <f aca="false">'2a-PayrollYear1'!G7</f>
        <v>Month 2</v>
      </c>
      <c r="E10" s="104" t="str">
        <f aca="false">'2a-PayrollYear1'!H7</f>
        <v>Month 3</v>
      </c>
      <c r="F10" s="104" t="str">
        <f aca="false">'2a-PayrollYear1'!I7</f>
        <v>Month 4</v>
      </c>
      <c r="G10" s="104" t="str">
        <f aca="false">'2a-PayrollYear1'!J7</f>
        <v>Month 5</v>
      </c>
      <c r="H10" s="104" t="str">
        <f aca="false">'2a-PayrollYear1'!K7</f>
        <v>Month 6</v>
      </c>
      <c r="I10" s="104" t="str">
        <f aca="false">'2a-PayrollYear1'!L7</f>
        <v>Month 7</v>
      </c>
      <c r="J10" s="104" t="str">
        <f aca="false">'2a-PayrollYear1'!M7</f>
        <v>Month 8</v>
      </c>
      <c r="K10" s="104" t="str">
        <f aca="false">'2a-PayrollYear1'!N7</f>
        <v>Month 9</v>
      </c>
      <c r="L10" s="104" t="str">
        <f aca="false">'2a-PayrollYear1'!O7</f>
        <v>Month 10</v>
      </c>
      <c r="M10" s="104" t="str">
        <f aca="false">'2a-PayrollYear1'!P7</f>
        <v>Month 11</v>
      </c>
      <c r="N10" s="104" t="str">
        <f aca="false">'2a-PayrollYear1'!Q7</f>
        <v>Month 12</v>
      </c>
      <c r="O10" s="104" t="s">
        <v>112</v>
      </c>
      <c r="P10" s="104" t="s">
        <v>100</v>
      </c>
      <c r="Q10" s="104" t="s">
        <v>101</v>
      </c>
      <c r="R10" s="104" t="str">
        <f aca="false">'2a-PayrollYear1'!F7</f>
        <v>Month 1</v>
      </c>
      <c r="S10" s="104" t="str">
        <f aca="false">'2a-PayrollYear1'!G7</f>
        <v>Month 2</v>
      </c>
      <c r="T10" s="104" t="str">
        <f aca="false">'2a-PayrollYear1'!H7</f>
        <v>Month 3</v>
      </c>
      <c r="U10" s="104" t="str">
        <f aca="false">'2a-PayrollYear1'!I7</f>
        <v>Month 4</v>
      </c>
      <c r="V10" s="104" t="str">
        <f aca="false">'2a-PayrollYear1'!J7</f>
        <v>Month 5</v>
      </c>
      <c r="W10" s="104" t="str">
        <f aca="false">'2a-PayrollYear1'!K7</f>
        <v>Month 6</v>
      </c>
      <c r="X10" s="104" t="str">
        <f aca="false">'2a-PayrollYear1'!L7</f>
        <v>Month 7</v>
      </c>
      <c r="Y10" s="104" t="str">
        <f aca="false">'2a-PayrollYear1'!M7</f>
        <v>Month 8</v>
      </c>
      <c r="Z10" s="104" t="str">
        <f aca="false">'2a-PayrollYear1'!N7</f>
        <v>Month 9</v>
      </c>
      <c r="AA10" s="104" t="str">
        <f aca="false">'2a-PayrollYear1'!O7</f>
        <v>Month 10</v>
      </c>
      <c r="AB10" s="104" t="str">
        <f aca="false">'2a-PayrollYear1'!P7</f>
        <v>Month 11</v>
      </c>
      <c r="AC10" s="104" t="str">
        <f aca="false">'2a-PayrollYear1'!Q7</f>
        <v>Month 12</v>
      </c>
      <c r="AD10" s="104" t="s">
        <v>113</v>
      </c>
      <c r="AE10" s="104" t="s">
        <v>100</v>
      </c>
      <c r="AF10" s="104" t="s">
        <v>101</v>
      </c>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s="95" customFormat="true" ht="14.4" hidden="false" customHeight="false" outlineLevel="0" collapsed="false">
      <c r="A11" s="180" t="str">
        <f aca="false">'3a-SalesForecastYear1'!B17</f>
        <v>Product 1</v>
      </c>
      <c r="B11" s="180"/>
      <c r="C11" s="181"/>
      <c r="D11" s="181"/>
      <c r="E11" s="181"/>
      <c r="F11" s="181"/>
      <c r="G11" s="181"/>
      <c r="H11" s="181"/>
      <c r="I11" s="181"/>
      <c r="J11" s="181"/>
      <c r="K11" s="181"/>
      <c r="L11" s="181"/>
      <c r="M11" s="181"/>
      <c r="N11" s="181"/>
      <c r="O11" s="182"/>
      <c r="P11" s="106"/>
      <c r="Q11" s="182"/>
      <c r="R11" s="181"/>
      <c r="S11" s="181"/>
      <c r="T11" s="181"/>
      <c r="U11" s="181"/>
      <c r="V11" s="181"/>
      <c r="W11" s="181"/>
      <c r="X11" s="181"/>
      <c r="Y11" s="181"/>
      <c r="Z11" s="181"/>
      <c r="AA11" s="181"/>
      <c r="AB11" s="181"/>
      <c r="AC11" s="181"/>
      <c r="AD11" s="182"/>
      <c r="AE11" s="106"/>
      <c r="AF11" s="182"/>
    </row>
    <row r="12" customFormat="false" ht="13.8" hidden="false" customHeight="false" outlineLevel="0" collapsed="false">
      <c r="A12" s="183" t="str">
        <f aca="false">Unit1&amp; " Sold"</f>
        <v> Sold</v>
      </c>
      <c r="B12" s="183" t="n">
        <f aca="false">Unit1_Annual</f>
        <v>0</v>
      </c>
      <c r="C12" s="224" t="n">
        <f aca="false">'3a-SalesForecastYear1'!C18+('3a-SalesForecastYear1'!C18*$C$7)</f>
        <v>0</v>
      </c>
      <c r="D12" s="224" t="n">
        <f aca="false">'3a-SalesForecastYear1'!D18+('3a-SalesForecastYear1'!D18*$C$7)</f>
        <v>0</v>
      </c>
      <c r="E12" s="224" t="n">
        <f aca="false">'3a-SalesForecastYear1'!E18+('3a-SalesForecastYear1'!E18*$C$7)</f>
        <v>0</v>
      </c>
      <c r="F12" s="224" t="n">
        <f aca="false">'3a-SalesForecastYear1'!F18+('3a-SalesForecastYear1'!F18*$C$7)</f>
        <v>0</v>
      </c>
      <c r="G12" s="224" t="n">
        <f aca="false">'3a-SalesForecastYear1'!G18+('3a-SalesForecastYear1'!G18*$C$7)</f>
        <v>0</v>
      </c>
      <c r="H12" s="224" t="n">
        <f aca="false">'3a-SalesForecastYear1'!H18+('3a-SalesForecastYear1'!H18*$C$7)</f>
        <v>0</v>
      </c>
      <c r="I12" s="224" t="n">
        <f aca="false">'3a-SalesForecastYear1'!I18+('3a-SalesForecastYear1'!I18*$C$7)</f>
        <v>0</v>
      </c>
      <c r="J12" s="224" t="n">
        <f aca="false">'3a-SalesForecastYear1'!J18+('3a-SalesForecastYear1'!J18*$C$7)</f>
        <v>0</v>
      </c>
      <c r="K12" s="224" t="n">
        <f aca="false">'3a-SalesForecastYear1'!K18+('3a-SalesForecastYear1'!K18*$C$7)</f>
        <v>0</v>
      </c>
      <c r="L12" s="224" t="n">
        <f aca="false">'3a-SalesForecastYear1'!L18+('3a-SalesForecastYear1'!L18*$C$7)</f>
        <v>0</v>
      </c>
      <c r="M12" s="224" t="n">
        <f aca="false">'3a-SalesForecastYear1'!M18+('3a-SalesForecastYear1'!M18*$C$7)</f>
        <v>0</v>
      </c>
      <c r="N12" s="224" t="n">
        <f aca="false">'3a-SalesForecastYear1'!N18+('3a-SalesForecastYear1'!N18*$C$7)</f>
        <v>0</v>
      </c>
      <c r="O12" s="185" t="n">
        <f aca="false">SUM(C12:N12)</f>
        <v>0</v>
      </c>
      <c r="P12" s="113"/>
      <c r="Q12" s="186" t="n">
        <f aca="false">IF($O$52=0,0,O12/$O$52)</f>
        <v>0</v>
      </c>
      <c r="R12" s="224" t="n">
        <f aca="false">C12+(C12*$C$8)</f>
        <v>0</v>
      </c>
      <c r="S12" s="224" t="n">
        <f aca="false">D12+(D12*$C$8)</f>
        <v>0</v>
      </c>
      <c r="T12" s="224" t="n">
        <f aca="false">E12+(E12*$C$8)</f>
        <v>0</v>
      </c>
      <c r="U12" s="224" t="n">
        <f aca="false">F12+(F12*$C$8)</f>
        <v>0</v>
      </c>
      <c r="V12" s="224" t="n">
        <f aca="false">G12+(G12*$C$8)</f>
        <v>0</v>
      </c>
      <c r="W12" s="224" t="n">
        <f aca="false">H12+(H12*$C$8)</f>
        <v>0</v>
      </c>
      <c r="X12" s="224" t="n">
        <f aca="false">I12+(I12*$C$8)</f>
        <v>0</v>
      </c>
      <c r="Y12" s="224" t="n">
        <f aca="false">J12+(J12*$C$8)</f>
        <v>0</v>
      </c>
      <c r="Z12" s="224" t="n">
        <f aca="false">K12+(K12*$C$8)</f>
        <v>0</v>
      </c>
      <c r="AA12" s="224" t="n">
        <f aca="false">L12+(L12*$C$8)</f>
        <v>0</v>
      </c>
      <c r="AB12" s="224" t="n">
        <f aca="false">M12+(M12*$C$8)</f>
        <v>0</v>
      </c>
      <c r="AC12" s="224" t="n">
        <f aca="false">N12+(N12*$C$8)</f>
        <v>0</v>
      </c>
      <c r="AD12" s="185" t="n">
        <f aca="false">SUM(R12:AC12)</f>
        <v>0</v>
      </c>
      <c r="AE12" s="113"/>
      <c r="AF12" s="186" t="n">
        <f aca="false">IF($O$52=0,0,AD12/$O$52)</f>
        <v>0</v>
      </c>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187" t="s">
        <v>102</v>
      </c>
      <c r="B13" s="225" t="n">
        <f aca="false">Category1_Annual_Sales</f>
        <v>0</v>
      </c>
      <c r="C13" s="226" t="n">
        <f aca="false">+C12*'3a-SalesForecastYear1'!$D$9</f>
        <v>0</v>
      </c>
      <c r="D13" s="226" t="n">
        <f aca="false">+D12*'3a-SalesForecastYear1'!$D$9</f>
        <v>0</v>
      </c>
      <c r="E13" s="226" t="n">
        <f aca="false">+E12*'3a-SalesForecastYear1'!$D$9</f>
        <v>0</v>
      </c>
      <c r="F13" s="226" t="n">
        <f aca="false">+F12*'3a-SalesForecastYear1'!$D$9</f>
        <v>0</v>
      </c>
      <c r="G13" s="226" t="n">
        <f aca="false">+G12*'3a-SalesForecastYear1'!$D$9</f>
        <v>0</v>
      </c>
      <c r="H13" s="226" t="n">
        <f aca="false">+H12*'3a-SalesForecastYear1'!$D$9</f>
        <v>0</v>
      </c>
      <c r="I13" s="226" t="n">
        <f aca="false">+I12*'3a-SalesForecastYear1'!$D$9</f>
        <v>0</v>
      </c>
      <c r="J13" s="226" t="n">
        <f aca="false">+J12*'3a-SalesForecastYear1'!$D$9</f>
        <v>0</v>
      </c>
      <c r="K13" s="226" t="n">
        <f aca="false">+K12*'3a-SalesForecastYear1'!$D$9</f>
        <v>0</v>
      </c>
      <c r="L13" s="226" t="n">
        <f aca="false">+L12*'3a-SalesForecastYear1'!$D$9</f>
        <v>0</v>
      </c>
      <c r="M13" s="226" t="n">
        <f aca="false">+M12*'3a-SalesForecastYear1'!$D$9</f>
        <v>0</v>
      </c>
      <c r="N13" s="226" t="n">
        <f aca="false">+N12*'3a-SalesForecastYear1'!$D$9</f>
        <v>0</v>
      </c>
      <c r="O13" s="189" t="n">
        <f aca="false">SUM(C13:N13)</f>
        <v>0</v>
      </c>
      <c r="P13" s="190" t="n">
        <f aca="false">(P14+P15)</f>
        <v>0</v>
      </c>
      <c r="Q13" s="186" t="n">
        <f aca="false">IF($O$53=0,0,O13/$O$53)</f>
        <v>0</v>
      </c>
      <c r="R13" s="226" t="n">
        <f aca="false">+R12*'3a-SalesForecastYear1'!$D$9</f>
        <v>0</v>
      </c>
      <c r="S13" s="226" t="n">
        <f aca="false">+S12*'3a-SalesForecastYear1'!$D$9</f>
        <v>0</v>
      </c>
      <c r="T13" s="226" t="n">
        <f aca="false">+T12*'3a-SalesForecastYear1'!$D$9</f>
        <v>0</v>
      </c>
      <c r="U13" s="226" t="n">
        <f aca="false">+U12*'3a-SalesForecastYear1'!$D$9</f>
        <v>0</v>
      </c>
      <c r="V13" s="226" t="n">
        <f aca="false">+V12*'3a-SalesForecastYear1'!$D$9</f>
        <v>0</v>
      </c>
      <c r="W13" s="226" t="n">
        <f aca="false">+W12*'3a-SalesForecastYear1'!$D$9</f>
        <v>0</v>
      </c>
      <c r="X13" s="226" t="n">
        <f aca="false">+X12*'3a-SalesForecastYear1'!$D$9</f>
        <v>0</v>
      </c>
      <c r="Y13" s="226" t="n">
        <f aca="false">+Y12*'3a-SalesForecastYear1'!$D$9</f>
        <v>0</v>
      </c>
      <c r="Z13" s="226" t="n">
        <f aca="false">+Z12*'3a-SalesForecastYear1'!$D$9</f>
        <v>0</v>
      </c>
      <c r="AA13" s="226" t="n">
        <f aca="false">+AA12*'3a-SalesForecastYear1'!$D$9</f>
        <v>0</v>
      </c>
      <c r="AB13" s="226" t="n">
        <f aca="false">+AB12*'3a-SalesForecastYear1'!$D$9</f>
        <v>0</v>
      </c>
      <c r="AC13" s="226" t="n">
        <f aca="false">+AC12*'3a-SalesForecastYear1'!$D$9</f>
        <v>0</v>
      </c>
      <c r="AD13" s="189" t="n">
        <f aca="false">SUM(R13:AC13)</f>
        <v>0</v>
      </c>
      <c r="AE13" s="190" t="n">
        <f aca="false">(AE14+AE15)</f>
        <v>0</v>
      </c>
      <c r="AF13" s="186" t="n">
        <f aca="false">IF($O$53=0,0,AD13/$O$53)</f>
        <v>0</v>
      </c>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187" t="s">
        <v>103</v>
      </c>
      <c r="B14" s="225" t="n">
        <f aca="false">'3a-SalesForecastYear1'!O20</f>
        <v>0</v>
      </c>
      <c r="C14" s="226" t="n">
        <f aca="false">+C12*'3a-SalesForecastYear1'!$E$9</f>
        <v>0</v>
      </c>
      <c r="D14" s="226" t="n">
        <f aca="false">+D12*'3a-SalesForecastYear1'!$E$9</f>
        <v>0</v>
      </c>
      <c r="E14" s="226" t="n">
        <f aca="false">+E12*'3a-SalesForecastYear1'!$E$9</f>
        <v>0</v>
      </c>
      <c r="F14" s="226" t="n">
        <f aca="false">+F12*'3a-SalesForecastYear1'!$E$9</f>
        <v>0</v>
      </c>
      <c r="G14" s="226" t="n">
        <f aca="false">+G12*'3a-SalesForecastYear1'!$E$9</f>
        <v>0</v>
      </c>
      <c r="H14" s="226" t="n">
        <f aca="false">+H12*'3a-SalesForecastYear1'!$E$9</f>
        <v>0</v>
      </c>
      <c r="I14" s="226" t="n">
        <f aca="false">+I12*'3a-SalesForecastYear1'!$E$9</f>
        <v>0</v>
      </c>
      <c r="J14" s="226" t="n">
        <f aca="false">+J12*'3a-SalesForecastYear1'!$E$9</f>
        <v>0</v>
      </c>
      <c r="K14" s="226" t="n">
        <f aca="false">+K12*'3a-SalesForecastYear1'!$E$9</f>
        <v>0</v>
      </c>
      <c r="L14" s="226" t="n">
        <f aca="false">+L12*'3a-SalesForecastYear1'!$E$9</f>
        <v>0</v>
      </c>
      <c r="M14" s="226" t="n">
        <f aca="false">+M12*'3a-SalesForecastYear1'!$E$9</f>
        <v>0</v>
      </c>
      <c r="N14" s="226" t="n">
        <f aca="false">+N12*'3a-SalesForecastYear1'!$E$9</f>
        <v>0</v>
      </c>
      <c r="O14" s="189" t="n">
        <f aca="false">SUM(C14:N14)</f>
        <v>0</v>
      </c>
      <c r="P14" s="190" t="n">
        <f aca="false">IF(O13=0,0,O14/O13)</f>
        <v>0</v>
      </c>
      <c r="Q14" s="186" t="n">
        <f aca="false">IF($O$54=0,0,O14/$O$54)</f>
        <v>0</v>
      </c>
      <c r="R14" s="226" t="n">
        <f aca="false">+R12*'3a-SalesForecastYear1'!$E$9</f>
        <v>0</v>
      </c>
      <c r="S14" s="226" t="n">
        <f aca="false">+S12*'3a-SalesForecastYear1'!$E$9</f>
        <v>0</v>
      </c>
      <c r="T14" s="226" t="n">
        <f aca="false">+T12*'3a-SalesForecastYear1'!$E$9</f>
        <v>0</v>
      </c>
      <c r="U14" s="226" t="n">
        <f aca="false">+U12*'3a-SalesForecastYear1'!$E$9</f>
        <v>0</v>
      </c>
      <c r="V14" s="226" t="n">
        <f aca="false">+V12*'3a-SalesForecastYear1'!$E$9</f>
        <v>0</v>
      </c>
      <c r="W14" s="226" t="n">
        <f aca="false">+W12*'3a-SalesForecastYear1'!$E$9</f>
        <v>0</v>
      </c>
      <c r="X14" s="226" t="n">
        <f aca="false">+X12*'3a-SalesForecastYear1'!$E$9</f>
        <v>0</v>
      </c>
      <c r="Y14" s="226" t="n">
        <f aca="false">+Y12*'3a-SalesForecastYear1'!$E$9</f>
        <v>0</v>
      </c>
      <c r="Z14" s="226" t="n">
        <f aca="false">+Z12*'3a-SalesForecastYear1'!$E$9</f>
        <v>0</v>
      </c>
      <c r="AA14" s="226" t="n">
        <f aca="false">+AA12*'3a-SalesForecastYear1'!$E$9</f>
        <v>0</v>
      </c>
      <c r="AB14" s="226" t="n">
        <f aca="false">+AB12*'3a-SalesForecastYear1'!$E$9</f>
        <v>0</v>
      </c>
      <c r="AC14" s="226" t="n">
        <f aca="false">+AC12*'3a-SalesForecastYear1'!$E$9</f>
        <v>0</v>
      </c>
      <c r="AD14" s="189" t="n">
        <f aca="false">SUM(R14:AC14)</f>
        <v>0</v>
      </c>
      <c r="AE14" s="190" t="n">
        <f aca="false">IF(AD13=0,0,AD14/AD13)</f>
        <v>0</v>
      </c>
      <c r="AF14" s="186" t="n">
        <f aca="false">IF($O$54=0,0,AD14/$O$54)</f>
        <v>0</v>
      </c>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s="96" customFormat="true" ht="13.8" hidden="false" customHeight="false" outlineLevel="0" collapsed="false">
      <c r="A15" s="183" t="s">
        <v>104</v>
      </c>
      <c r="B15" s="225" t="n">
        <f aca="false">'3a-SalesForecastYear1'!O21</f>
        <v>0</v>
      </c>
      <c r="C15" s="226" t="n">
        <f aca="false">C13-C14</f>
        <v>0</v>
      </c>
      <c r="D15" s="226" t="n">
        <f aca="false">D13-D14</f>
        <v>0</v>
      </c>
      <c r="E15" s="226" t="n">
        <f aca="false">E13-E14</f>
        <v>0</v>
      </c>
      <c r="F15" s="226" t="n">
        <f aca="false">F13-F14</f>
        <v>0</v>
      </c>
      <c r="G15" s="226" t="n">
        <f aca="false">G13-G14</f>
        <v>0</v>
      </c>
      <c r="H15" s="226" t="n">
        <f aca="false">H13-H14</f>
        <v>0</v>
      </c>
      <c r="I15" s="226" t="n">
        <f aca="false">I13-I14</f>
        <v>0</v>
      </c>
      <c r="J15" s="226" t="n">
        <f aca="false">J13-J14</f>
        <v>0</v>
      </c>
      <c r="K15" s="226" t="n">
        <f aca="false">K13-K14</f>
        <v>0</v>
      </c>
      <c r="L15" s="226" t="n">
        <f aca="false">L13-L14</f>
        <v>0</v>
      </c>
      <c r="M15" s="226" t="n">
        <f aca="false">M13-M14</f>
        <v>0</v>
      </c>
      <c r="N15" s="226" t="n">
        <f aca="false">N13-N14</f>
        <v>0</v>
      </c>
      <c r="O15" s="189" t="n">
        <f aca="false">SUM(C15:N15)</f>
        <v>0</v>
      </c>
      <c r="P15" s="190" t="n">
        <f aca="false">IF(O13=0,0,O15/O13)</f>
        <v>0</v>
      </c>
      <c r="Q15" s="186" t="n">
        <f aca="false">IF($O$55=0,0,O15/$O$55)</f>
        <v>0</v>
      </c>
      <c r="R15" s="226" t="n">
        <f aca="false">R13-R14</f>
        <v>0</v>
      </c>
      <c r="S15" s="226" t="n">
        <f aca="false">S13-S14</f>
        <v>0</v>
      </c>
      <c r="T15" s="226" t="n">
        <f aca="false">T13-T14</f>
        <v>0</v>
      </c>
      <c r="U15" s="226" t="n">
        <f aca="false">U13-U14</f>
        <v>0</v>
      </c>
      <c r="V15" s="226" t="n">
        <f aca="false">V13-V14</f>
        <v>0</v>
      </c>
      <c r="W15" s="226" t="n">
        <f aca="false">W13-W14</f>
        <v>0</v>
      </c>
      <c r="X15" s="226" t="n">
        <f aca="false">X13-X14</f>
        <v>0</v>
      </c>
      <c r="Y15" s="226" t="n">
        <f aca="false">Y13-Y14</f>
        <v>0</v>
      </c>
      <c r="Z15" s="226" t="n">
        <f aca="false">Z13-Z14</f>
        <v>0</v>
      </c>
      <c r="AA15" s="226" t="n">
        <f aca="false">AA13-AA14</f>
        <v>0</v>
      </c>
      <c r="AB15" s="226" t="n">
        <f aca="false">AB13-AB14</f>
        <v>0</v>
      </c>
      <c r="AC15" s="226" t="n">
        <f aca="false">AC13-AC14</f>
        <v>0</v>
      </c>
      <c r="AD15" s="189" t="n">
        <f aca="false">SUM(R15:AC15)</f>
        <v>0</v>
      </c>
      <c r="AE15" s="190" t="n">
        <f aca="false">IF(AD13=0,0,AD15/AD13)</f>
        <v>0</v>
      </c>
      <c r="AF15" s="186" t="n">
        <f aca="false">IF($O$55=0,0,AD15/$O$55)</f>
        <v>0</v>
      </c>
    </row>
    <row r="16" customFormat="false" ht="13.8" hidden="false" customHeight="false" outlineLevel="0" collapsed="false">
      <c r="A16" s="192"/>
      <c r="B16" s="227"/>
      <c r="C16" s="193"/>
      <c r="D16" s="194"/>
      <c r="E16" s="194"/>
      <c r="F16" s="194"/>
      <c r="G16" s="194"/>
      <c r="H16" s="194"/>
      <c r="I16" s="194"/>
      <c r="J16" s="194"/>
      <c r="K16" s="194"/>
      <c r="L16" s="194"/>
      <c r="M16" s="194"/>
      <c r="N16" s="194"/>
      <c r="O16" s="195"/>
      <c r="P16" s="113"/>
      <c r="Q16" s="196"/>
      <c r="R16" s="193"/>
      <c r="S16" s="194"/>
      <c r="T16" s="194"/>
      <c r="U16" s="194"/>
      <c r="V16" s="194"/>
      <c r="W16" s="194"/>
      <c r="X16" s="194"/>
      <c r="Y16" s="194"/>
      <c r="Z16" s="194"/>
      <c r="AA16" s="194"/>
      <c r="AB16" s="194"/>
      <c r="AC16" s="194"/>
      <c r="AD16" s="195"/>
      <c r="AE16" s="113"/>
      <c r="AF16" s="196"/>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s="95" customFormat="true" ht="13.8" hidden="false" customHeight="false" outlineLevel="0" collapsed="false">
      <c r="A17" s="180" t="str">
        <f aca="false">'3a-SalesForecastYear1'!B23</f>
        <v>Product 2</v>
      </c>
      <c r="B17" s="180"/>
      <c r="C17" s="198"/>
      <c r="D17" s="198"/>
      <c r="E17" s="198"/>
      <c r="F17" s="198"/>
      <c r="G17" s="198"/>
      <c r="H17" s="198"/>
      <c r="I17" s="198"/>
      <c r="J17" s="198"/>
      <c r="K17" s="198"/>
      <c r="L17" s="198"/>
      <c r="M17" s="198"/>
      <c r="N17" s="198"/>
      <c r="O17" s="182"/>
      <c r="P17" s="113"/>
      <c r="Q17" s="196"/>
      <c r="R17" s="198"/>
      <c r="S17" s="198"/>
      <c r="T17" s="198"/>
      <c r="U17" s="198"/>
      <c r="V17" s="198"/>
      <c r="W17" s="198"/>
      <c r="X17" s="198"/>
      <c r="Y17" s="198"/>
      <c r="Z17" s="198"/>
      <c r="AA17" s="198"/>
      <c r="AB17" s="198"/>
      <c r="AC17" s="198"/>
      <c r="AD17" s="182"/>
      <c r="AE17" s="113"/>
      <c r="AF17" s="196"/>
    </row>
    <row r="18" customFormat="false" ht="13.8" hidden="false" customHeight="false" outlineLevel="0" collapsed="false">
      <c r="A18" s="183" t="str">
        <f aca="false">Unit2&amp; " Sold"</f>
        <v> Sold</v>
      </c>
      <c r="B18" s="183" t="n">
        <f aca="false">Unit2_Annual</f>
        <v>0</v>
      </c>
      <c r="C18" s="224" t="n">
        <f aca="false">'3a-SalesForecastYear1'!C24+('3a-SalesForecastYear1'!C24*$C$7)</f>
        <v>0</v>
      </c>
      <c r="D18" s="224" t="n">
        <f aca="false">'3a-SalesForecastYear1'!D24+('3a-SalesForecastYear1'!D24*$C$7)</f>
        <v>0</v>
      </c>
      <c r="E18" s="224" t="n">
        <f aca="false">'3a-SalesForecastYear1'!E24+('3a-SalesForecastYear1'!E24*$C$7)</f>
        <v>0</v>
      </c>
      <c r="F18" s="224" t="n">
        <f aca="false">'3a-SalesForecastYear1'!F24+('3a-SalesForecastYear1'!F24*$C$7)</f>
        <v>0</v>
      </c>
      <c r="G18" s="224" t="n">
        <f aca="false">'3a-SalesForecastYear1'!G24+('3a-SalesForecastYear1'!G24*$C$7)</f>
        <v>0</v>
      </c>
      <c r="H18" s="224" t="n">
        <f aca="false">'3a-SalesForecastYear1'!H24+('3a-SalesForecastYear1'!H24*$C$7)</f>
        <v>0</v>
      </c>
      <c r="I18" s="224" t="n">
        <f aca="false">'3a-SalesForecastYear1'!I24+('3a-SalesForecastYear1'!I24*$C$7)</f>
        <v>0</v>
      </c>
      <c r="J18" s="224" t="n">
        <f aca="false">'3a-SalesForecastYear1'!J24+('3a-SalesForecastYear1'!J24*$C$7)</f>
        <v>0</v>
      </c>
      <c r="K18" s="224" t="n">
        <f aca="false">'3a-SalesForecastYear1'!K24+('3a-SalesForecastYear1'!K24*$C$7)</f>
        <v>0</v>
      </c>
      <c r="L18" s="224" t="n">
        <f aca="false">'3a-SalesForecastYear1'!L24+('3a-SalesForecastYear1'!L24*$C$7)</f>
        <v>0</v>
      </c>
      <c r="M18" s="224" t="n">
        <f aca="false">'3a-SalesForecastYear1'!M24+('3a-SalesForecastYear1'!M24*$C$7)</f>
        <v>0</v>
      </c>
      <c r="N18" s="224" t="n">
        <f aca="false">'3a-SalesForecastYear1'!N24+('3a-SalesForecastYear1'!N24*$C$7)</f>
        <v>0</v>
      </c>
      <c r="O18" s="199" t="n">
        <f aca="false">SUM(C18:N18)</f>
        <v>0</v>
      </c>
      <c r="P18" s="113"/>
      <c r="Q18" s="186" t="n">
        <f aca="false">IF($O$52=0,0,O18/$O$52)</f>
        <v>0</v>
      </c>
      <c r="R18" s="224" t="n">
        <f aca="false">C18+(C18*$C$8)</f>
        <v>0</v>
      </c>
      <c r="S18" s="224" t="n">
        <f aca="false">D18+(D18*$C$8)</f>
        <v>0</v>
      </c>
      <c r="T18" s="224" t="n">
        <f aca="false">E18+(E18*$C$8)</f>
        <v>0</v>
      </c>
      <c r="U18" s="224" t="n">
        <f aca="false">F18+(F18*$C$8)</f>
        <v>0</v>
      </c>
      <c r="V18" s="224" t="n">
        <f aca="false">G18+(G18*$C$8)</f>
        <v>0</v>
      </c>
      <c r="W18" s="224" t="n">
        <f aca="false">H18+(H18*$C$8)</f>
        <v>0</v>
      </c>
      <c r="X18" s="224" t="n">
        <f aca="false">I18+(I18*$C$8)</f>
        <v>0</v>
      </c>
      <c r="Y18" s="224" t="n">
        <f aca="false">J18+(J18*$C$8)</f>
        <v>0</v>
      </c>
      <c r="Z18" s="224" t="n">
        <f aca="false">K18+(K18*$C$8)</f>
        <v>0</v>
      </c>
      <c r="AA18" s="224" t="n">
        <f aca="false">L18+(L18*$C$8)</f>
        <v>0</v>
      </c>
      <c r="AB18" s="224" t="n">
        <f aca="false">M18+(M18*$C$8)</f>
        <v>0</v>
      </c>
      <c r="AC18" s="224" t="n">
        <f aca="false">N18+(N18*$C$8)</f>
        <v>0</v>
      </c>
      <c r="AD18" s="199" t="n">
        <f aca="false">SUM(R18:AC18)</f>
        <v>0</v>
      </c>
      <c r="AE18" s="113"/>
      <c r="AF18" s="186" t="n">
        <f aca="false">IF($O$52=0,0,AD18/$O$52)</f>
        <v>0</v>
      </c>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200" t="s">
        <v>102</v>
      </c>
      <c r="B19" s="228" t="n">
        <f aca="false">Category2_Annual_Sales</f>
        <v>0</v>
      </c>
      <c r="C19" s="226" t="n">
        <f aca="false">+C18*'3a-SalesForecastYear1'!$D$10</f>
        <v>0</v>
      </c>
      <c r="D19" s="226" t="n">
        <f aca="false">+D18*'3a-SalesForecastYear1'!$D$10</f>
        <v>0</v>
      </c>
      <c r="E19" s="226" t="n">
        <f aca="false">+E18*'3a-SalesForecastYear1'!$D$10</f>
        <v>0</v>
      </c>
      <c r="F19" s="226" t="n">
        <f aca="false">+F18*'3a-SalesForecastYear1'!$D$10</f>
        <v>0</v>
      </c>
      <c r="G19" s="226" t="n">
        <f aca="false">+G18*'3a-SalesForecastYear1'!$D$10</f>
        <v>0</v>
      </c>
      <c r="H19" s="226" t="n">
        <f aca="false">+H18*'3a-SalesForecastYear1'!$D$10</f>
        <v>0</v>
      </c>
      <c r="I19" s="226" t="n">
        <f aca="false">+I18*'3a-SalesForecastYear1'!$D$10</f>
        <v>0</v>
      </c>
      <c r="J19" s="226" t="n">
        <f aca="false">+J18*'3a-SalesForecastYear1'!$D$10</f>
        <v>0</v>
      </c>
      <c r="K19" s="226" t="n">
        <f aca="false">+K18*'3a-SalesForecastYear1'!$D$10</f>
        <v>0</v>
      </c>
      <c r="L19" s="226" t="n">
        <f aca="false">+L18*'3a-SalesForecastYear1'!$D$10</f>
        <v>0</v>
      </c>
      <c r="M19" s="226" t="n">
        <f aca="false">+M18*'3a-SalesForecastYear1'!$D$10</f>
        <v>0</v>
      </c>
      <c r="N19" s="226" t="n">
        <f aca="false">+N18*'3a-SalesForecastYear1'!$D$10</f>
        <v>0</v>
      </c>
      <c r="O19" s="201" t="n">
        <f aca="false">SUM(C19:N19)</f>
        <v>0</v>
      </c>
      <c r="P19" s="190" t="n">
        <f aca="false">(P20+P21)</f>
        <v>0</v>
      </c>
      <c r="Q19" s="186" t="n">
        <f aca="false">IF($O$53=0,0,O19/$O$53)</f>
        <v>0</v>
      </c>
      <c r="R19" s="226" t="n">
        <f aca="false">+R18*'3a-SalesForecastYear1'!$D$10</f>
        <v>0</v>
      </c>
      <c r="S19" s="226" t="n">
        <f aca="false">+S18*'3a-SalesForecastYear1'!$D$10</f>
        <v>0</v>
      </c>
      <c r="T19" s="226" t="n">
        <f aca="false">+T18*'3a-SalesForecastYear1'!$D$10</f>
        <v>0</v>
      </c>
      <c r="U19" s="226" t="n">
        <f aca="false">+U18*'3a-SalesForecastYear1'!$D$10</f>
        <v>0</v>
      </c>
      <c r="V19" s="226" t="n">
        <f aca="false">+V18*'3a-SalesForecastYear1'!$D$10</f>
        <v>0</v>
      </c>
      <c r="W19" s="226" t="n">
        <f aca="false">+W18*'3a-SalesForecastYear1'!$D$10</f>
        <v>0</v>
      </c>
      <c r="X19" s="226" t="n">
        <f aca="false">+X18*'3a-SalesForecastYear1'!$D$10</f>
        <v>0</v>
      </c>
      <c r="Y19" s="226" t="n">
        <f aca="false">+Y18*'3a-SalesForecastYear1'!$D$10</f>
        <v>0</v>
      </c>
      <c r="Z19" s="226" t="n">
        <f aca="false">+Z18*'3a-SalesForecastYear1'!$D$10</f>
        <v>0</v>
      </c>
      <c r="AA19" s="226" t="n">
        <f aca="false">+AA18*'3a-SalesForecastYear1'!$D$10</f>
        <v>0</v>
      </c>
      <c r="AB19" s="226" t="n">
        <f aca="false">+AB18*'3a-SalesForecastYear1'!$D$10</f>
        <v>0</v>
      </c>
      <c r="AC19" s="226" t="n">
        <f aca="false">+AC18*'3a-SalesForecastYear1'!$D$10</f>
        <v>0</v>
      </c>
      <c r="AD19" s="201" t="n">
        <f aca="false">SUM(R19:AC19)</f>
        <v>0</v>
      </c>
      <c r="AE19" s="190" t="n">
        <f aca="false">(AE20+AE21)</f>
        <v>0</v>
      </c>
      <c r="AF19" s="186" t="n">
        <f aca="false">IF($O$53=0,0,AD19/$O$53)</f>
        <v>0</v>
      </c>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200" t="s">
        <v>103</v>
      </c>
      <c r="B20" s="228" t="n">
        <f aca="false">'3a-SalesForecastYear1'!O26</f>
        <v>0</v>
      </c>
      <c r="C20" s="226" t="n">
        <f aca="false">+C18*'3a-SalesForecastYear1'!$E$10</f>
        <v>0</v>
      </c>
      <c r="D20" s="226" t="n">
        <f aca="false">+D18*'3a-SalesForecastYear1'!$E$10</f>
        <v>0</v>
      </c>
      <c r="E20" s="226" t="n">
        <f aca="false">+E18*'3a-SalesForecastYear1'!$E$10</f>
        <v>0</v>
      </c>
      <c r="F20" s="226" t="n">
        <f aca="false">+F18*'3a-SalesForecastYear1'!$E$10</f>
        <v>0</v>
      </c>
      <c r="G20" s="226" t="n">
        <f aca="false">+G18*'3a-SalesForecastYear1'!$E$10</f>
        <v>0</v>
      </c>
      <c r="H20" s="226" t="n">
        <f aca="false">+H18*'3a-SalesForecastYear1'!$E$10</f>
        <v>0</v>
      </c>
      <c r="I20" s="226" t="n">
        <f aca="false">+I18*'3a-SalesForecastYear1'!$E$10</f>
        <v>0</v>
      </c>
      <c r="J20" s="226" t="n">
        <f aca="false">+J18*'3a-SalesForecastYear1'!$E$10</f>
        <v>0</v>
      </c>
      <c r="K20" s="226" t="n">
        <f aca="false">+K18*'3a-SalesForecastYear1'!$E$10</f>
        <v>0</v>
      </c>
      <c r="L20" s="226" t="n">
        <f aca="false">+L18*'3a-SalesForecastYear1'!$E$10</f>
        <v>0</v>
      </c>
      <c r="M20" s="226" t="n">
        <f aca="false">+M18*'3a-SalesForecastYear1'!$E$10</f>
        <v>0</v>
      </c>
      <c r="N20" s="226" t="n">
        <f aca="false">+N18*'3a-SalesForecastYear1'!$E$10</f>
        <v>0</v>
      </c>
      <c r="O20" s="201" t="n">
        <f aca="false">SUM(C20:N20)</f>
        <v>0</v>
      </c>
      <c r="P20" s="190" t="n">
        <f aca="false">IF(O19=0,0,O20/O19)</f>
        <v>0</v>
      </c>
      <c r="Q20" s="186" t="n">
        <f aca="false">IF($O$54=0,0,O20/$O$54)</f>
        <v>0</v>
      </c>
      <c r="R20" s="226" t="n">
        <f aca="false">+R18*'3a-SalesForecastYear1'!$E$10</f>
        <v>0</v>
      </c>
      <c r="S20" s="226" t="n">
        <f aca="false">+S18*'3a-SalesForecastYear1'!$E$10</f>
        <v>0</v>
      </c>
      <c r="T20" s="226" t="n">
        <f aca="false">+T18*'3a-SalesForecastYear1'!$E$10</f>
        <v>0</v>
      </c>
      <c r="U20" s="226" t="n">
        <f aca="false">+U18*'3a-SalesForecastYear1'!$E$10</f>
        <v>0</v>
      </c>
      <c r="V20" s="226" t="n">
        <f aca="false">+V18*'3a-SalesForecastYear1'!$E$10</f>
        <v>0</v>
      </c>
      <c r="W20" s="226" t="n">
        <f aca="false">+W18*'3a-SalesForecastYear1'!$E$10</f>
        <v>0</v>
      </c>
      <c r="X20" s="226" t="n">
        <f aca="false">+X18*'3a-SalesForecastYear1'!$E$10</f>
        <v>0</v>
      </c>
      <c r="Y20" s="226" t="n">
        <f aca="false">+Y18*'3a-SalesForecastYear1'!$E$10</f>
        <v>0</v>
      </c>
      <c r="Z20" s="226" t="n">
        <f aca="false">+Z18*'3a-SalesForecastYear1'!$E$10</f>
        <v>0</v>
      </c>
      <c r="AA20" s="226" t="n">
        <f aca="false">+AA18*'3a-SalesForecastYear1'!$E$10</f>
        <v>0</v>
      </c>
      <c r="AB20" s="226" t="n">
        <f aca="false">+AB18*'3a-SalesForecastYear1'!$E$10</f>
        <v>0</v>
      </c>
      <c r="AC20" s="226" t="n">
        <f aca="false">+AC18*'3a-SalesForecastYear1'!$E$10</f>
        <v>0</v>
      </c>
      <c r="AD20" s="201" t="n">
        <f aca="false">SUM(R20:AC20)</f>
        <v>0</v>
      </c>
      <c r="AE20" s="190" t="n">
        <f aca="false">IF(AD19=0,0,AD20/AD19)</f>
        <v>0</v>
      </c>
      <c r="AF20" s="186" t="n">
        <f aca="false">IF($O$54=0,0,AD20/$O$54)</f>
        <v>0</v>
      </c>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96" customFormat="true" ht="13.8" hidden="false" customHeight="false" outlineLevel="0" collapsed="false">
      <c r="A21" s="183" t="s">
        <v>105</v>
      </c>
      <c r="B21" s="225" t="n">
        <f aca="false">'3a-SalesForecastYear1'!O27</f>
        <v>0</v>
      </c>
      <c r="C21" s="226" t="n">
        <f aca="false">C19-C20</f>
        <v>0</v>
      </c>
      <c r="D21" s="226" t="n">
        <f aca="false">D19-D20</f>
        <v>0</v>
      </c>
      <c r="E21" s="226" t="n">
        <f aca="false">E19-E20</f>
        <v>0</v>
      </c>
      <c r="F21" s="226" t="n">
        <f aca="false">F19-F20</f>
        <v>0</v>
      </c>
      <c r="G21" s="226" t="n">
        <f aca="false">G19-G20</f>
        <v>0</v>
      </c>
      <c r="H21" s="226" t="n">
        <f aca="false">H19-H20</f>
        <v>0</v>
      </c>
      <c r="I21" s="226" t="n">
        <f aca="false">I19-I20</f>
        <v>0</v>
      </c>
      <c r="J21" s="226" t="n">
        <f aca="false">J19-J20</f>
        <v>0</v>
      </c>
      <c r="K21" s="226" t="n">
        <f aca="false">K19-K20</f>
        <v>0</v>
      </c>
      <c r="L21" s="226" t="n">
        <f aca="false">L19-L20</f>
        <v>0</v>
      </c>
      <c r="M21" s="226" t="n">
        <f aca="false">M19-M20</f>
        <v>0</v>
      </c>
      <c r="N21" s="226" t="n">
        <f aca="false">N19-N20</f>
        <v>0</v>
      </c>
      <c r="O21" s="201" t="n">
        <f aca="false">SUM(C21:N21)</f>
        <v>0</v>
      </c>
      <c r="P21" s="190" t="n">
        <f aca="false">IF(O19=0,0,O21/O19)</f>
        <v>0</v>
      </c>
      <c r="Q21" s="186" t="n">
        <f aca="false">IF($O$55=0,0,O21/$O$55)</f>
        <v>0</v>
      </c>
      <c r="R21" s="226" t="n">
        <f aca="false">R19-R20</f>
        <v>0</v>
      </c>
      <c r="S21" s="226" t="n">
        <f aca="false">S19-S20</f>
        <v>0</v>
      </c>
      <c r="T21" s="226" t="n">
        <f aca="false">T19-T20</f>
        <v>0</v>
      </c>
      <c r="U21" s="226" t="n">
        <f aca="false">U19-U20</f>
        <v>0</v>
      </c>
      <c r="V21" s="226" t="n">
        <f aca="false">V19-V20</f>
        <v>0</v>
      </c>
      <c r="W21" s="226" t="n">
        <f aca="false">W19-W20</f>
        <v>0</v>
      </c>
      <c r="X21" s="226" t="n">
        <f aca="false">X19-X20</f>
        <v>0</v>
      </c>
      <c r="Y21" s="226" t="n">
        <f aca="false">Y19-Y20</f>
        <v>0</v>
      </c>
      <c r="Z21" s="226" t="n">
        <f aca="false">Z19-Z20</f>
        <v>0</v>
      </c>
      <c r="AA21" s="226" t="n">
        <f aca="false">AA19-AA20</f>
        <v>0</v>
      </c>
      <c r="AB21" s="226" t="n">
        <f aca="false">AB19-AB20</f>
        <v>0</v>
      </c>
      <c r="AC21" s="226" t="n">
        <f aca="false">AC19-AC20</f>
        <v>0</v>
      </c>
      <c r="AD21" s="201" t="n">
        <f aca="false">SUM(R21:AC21)</f>
        <v>0</v>
      </c>
      <c r="AE21" s="190" t="n">
        <f aca="false">IF(AD19=0,0,AD21/AD19)</f>
        <v>0</v>
      </c>
      <c r="AF21" s="186" t="n">
        <f aca="false">IF($O$55=0,0,AD21/$O$55)</f>
        <v>0</v>
      </c>
    </row>
    <row r="22" customFormat="false" ht="13.8" hidden="false" customHeight="false" outlineLevel="0" collapsed="false">
      <c r="A22" s="192"/>
      <c r="B22" s="227"/>
      <c r="C22" s="194"/>
      <c r="D22" s="194"/>
      <c r="E22" s="194"/>
      <c r="F22" s="194"/>
      <c r="G22" s="194"/>
      <c r="H22" s="194"/>
      <c r="I22" s="194"/>
      <c r="J22" s="194"/>
      <c r="K22" s="194"/>
      <c r="L22" s="194"/>
      <c r="M22" s="194"/>
      <c r="N22" s="194"/>
      <c r="O22" s="195"/>
      <c r="P22" s="113"/>
      <c r="Q22" s="196"/>
      <c r="R22" s="194"/>
      <c r="S22" s="194"/>
      <c r="T22" s="194"/>
      <c r="U22" s="194"/>
      <c r="V22" s="194"/>
      <c r="W22" s="194"/>
      <c r="X22" s="194"/>
      <c r="Y22" s="194"/>
      <c r="Z22" s="194"/>
      <c r="AA22" s="194"/>
      <c r="AB22" s="194"/>
      <c r="AC22" s="194"/>
      <c r="AD22" s="195"/>
      <c r="AE22" s="113"/>
      <c r="AF22" s="196"/>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180" t="str">
        <f aca="false">'3a-SalesForecastYear1'!B29</f>
        <v>Product 3</v>
      </c>
      <c r="B23" s="180"/>
      <c r="C23" s="202"/>
      <c r="D23" s="202"/>
      <c r="E23" s="202"/>
      <c r="F23" s="203"/>
      <c r="G23" s="203"/>
      <c r="H23" s="203"/>
      <c r="I23" s="203"/>
      <c r="J23" s="203"/>
      <c r="K23" s="203"/>
      <c r="L23" s="203"/>
      <c r="M23" s="203"/>
      <c r="N23" s="203"/>
      <c r="O23" s="182"/>
      <c r="P23" s="113"/>
      <c r="Q23" s="196"/>
      <c r="R23" s="202"/>
      <c r="S23" s="202"/>
      <c r="T23" s="202"/>
      <c r="U23" s="203"/>
      <c r="V23" s="203"/>
      <c r="W23" s="203"/>
      <c r="X23" s="203"/>
      <c r="Y23" s="203"/>
      <c r="Z23" s="203"/>
      <c r="AA23" s="203"/>
      <c r="AB23" s="203"/>
      <c r="AC23" s="203"/>
      <c r="AD23" s="182"/>
      <c r="AE23" s="113"/>
      <c r="AF23" s="196"/>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s="95" customFormat="true" ht="13.8" hidden="false" customHeight="false" outlineLevel="0" collapsed="false">
      <c r="A24" s="183" t="str">
        <f aca="false">Unit3&amp; " Sold"</f>
        <v> Sold</v>
      </c>
      <c r="B24" s="183" t="n">
        <f aca="false">Unit3_Annual</f>
        <v>0</v>
      </c>
      <c r="C24" s="224" t="n">
        <f aca="false">'3a-SalesForecastYear1'!C30+ ('3a-SalesForecastYear1'!C30*$C$7)</f>
        <v>0</v>
      </c>
      <c r="D24" s="224" t="n">
        <f aca="false">'3a-SalesForecastYear1'!D30+ ('3a-SalesForecastYear1'!D30*$C$7)</f>
        <v>0</v>
      </c>
      <c r="E24" s="224" t="n">
        <f aca="false">'3a-SalesForecastYear1'!E30+ ('3a-SalesForecastYear1'!E30*$C$7)</f>
        <v>0</v>
      </c>
      <c r="F24" s="224" t="n">
        <f aca="false">'3a-SalesForecastYear1'!F30+ ('3a-SalesForecastYear1'!F30*$C$7)</f>
        <v>0</v>
      </c>
      <c r="G24" s="224" t="n">
        <f aca="false">'3a-SalesForecastYear1'!G30+ ('3a-SalesForecastYear1'!G30*$C$7)</f>
        <v>0</v>
      </c>
      <c r="H24" s="224" t="n">
        <f aca="false">'3a-SalesForecastYear1'!H30+ ('3a-SalesForecastYear1'!H30*$C$7)</f>
        <v>0</v>
      </c>
      <c r="I24" s="224" t="n">
        <f aca="false">'3a-SalesForecastYear1'!I30+ ('3a-SalesForecastYear1'!I30*$C$7)</f>
        <v>0</v>
      </c>
      <c r="J24" s="224" t="n">
        <f aca="false">'3a-SalesForecastYear1'!J30+ ('3a-SalesForecastYear1'!J30*$C$7)</f>
        <v>0</v>
      </c>
      <c r="K24" s="224" t="n">
        <f aca="false">'3a-SalesForecastYear1'!K30+ ('3a-SalesForecastYear1'!K30*$C$7)</f>
        <v>0</v>
      </c>
      <c r="L24" s="224" t="n">
        <f aca="false">'3a-SalesForecastYear1'!L30+ ('3a-SalesForecastYear1'!L30*$C$7)</f>
        <v>0</v>
      </c>
      <c r="M24" s="224" t="n">
        <f aca="false">'3a-SalesForecastYear1'!M30+ ('3a-SalesForecastYear1'!M30*$C$7)</f>
        <v>0</v>
      </c>
      <c r="N24" s="224" t="n">
        <f aca="false">'3a-SalesForecastYear1'!N30+ ('3a-SalesForecastYear1'!N30*$C$7)</f>
        <v>0</v>
      </c>
      <c r="O24" s="199" t="n">
        <f aca="false">SUM(C24:N24)</f>
        <v>0</v>
      </c>
      <c r="P24" s="113"/>
      <c r="Q24" s="186" t="n">
        <f aca="false">IF($O$52=0,0,O24/$O$52)</f>
        <v>0</v>
      </c>
      <c r="R24" s="224" t="n">
        <f aca="false">C24+(C24*$C$8)</f>
        <v>0</v>
      </c>
      <c r="S24" s="224" t="n">
        <f aca="false">D24+(D24*$C$8)</f>
        <v>0</v>
      </c>
      <c r="T24" s="224" t="n">
        <f aca="false">E24+(E24*$C$8)</f>
        <v>0</v>
      </c>
      <c r="U24" s="224" t="n">
        <f aca="false">F24+(F24*$C$8)</f>
        <v>0</v>
      </c>
      <c r="V24" s="224" t="n">
        <f aca="false">G24+(G24*$C$8)</f>
        <v>0</v>
      </c>
      <c r="W24" s="224" t="n">
        <f aca="false">H24+(H24*$C$8)</f>
        <v>0</v>
      </c>
      <c r="X24" s="224" t="n">
        <f aca="false">I24+(I24*$C$8)</f>
        <v>0</v>
      </c>
      <c r="Y24" s="224" t="n">
        <f aca="false">J24+(J24*$C$8)</f>
        <v>0</v>
      </c>
      <c r="Z24" s="224" t="n">
        <f aca="false">K24+(K24*$C$8)</f>
        <v>0</v>
      </c>
      <c r="AA24" s="224" t="n">
        <f aca="false">L24+(L24*$C$8)</f>
        <v>0</v>
      </c>
      <c r="AB24" s="224" t="n">
        <f aca="false">M24+(M24*$C$8)</f>
        <v>0</v>
      </c>
      <c r="AC24" s="224" t="n">
        <f aca="false">N24+(N24*$C$8)</f>
        <v>0</v>
      </c>
      <c r="AD24" s="199" t="n">
        <f aca="false">SUM(R24:AC24)</f>
        <v>0</v>
      </c>
      <c r="AE24" s="113"/>
      <c r="AF24" s="186" t="n">
        <f aca="false">IF($O$52=0,0,AD24/$O$52)</f>
        <v>0</v>
      </c>
    </row>
    <row r="25" customFormat="false" ht="13.8" hidden="false" customHeight="false" outlineLevel="0" collapsed="false">
      <c r="A25" s="200" t="s">
        <v>102</v>
      </c>
      <c r="B25" s="229" t="n">
        <f aca="false">Category3_Annual_Sales</f>
        <v>0</v>
      </c>
      <c r="C25" s="226" t="n">
        <f aca="false">+C24*'3a-SalesForecastYear1'!$D$11</f>
        <v>0</v>
      </c>
      <c r="D25" s="226" t="n">
        <f aca="false">+D24*'3a-SalesForecastYear1'!$D$11</f>
        <v>0</v>
      </c>
      <c r="E25" s="226" t="n">
        <f aca="false">+E24*'3a-SalesForecastYear1'!$D$11</f>
        <v>0</v>
      </c>
      <c r="F25" s="226" t="n">
        <f aca="false">+F24*'3a-SalesForecastYear1'!$D$11</f>
        <v>0</v>
      </c>
      <c r="G25" s="226" t="n">
        <f aca="false">+G24*'3a-SalesForecastYear1'!$D$11</f>
        <v>0</v>
      </c>
      <c r="H25" s="226" t="n">
        <f aca="false">+H24*'3a-SalesForecastYear1'!$D$11</f>
        <v>0</v>
      </c>
      <c r="I25" s="226" t="n">
        <f aca="false">+I24*'3a-SalesForecastYear1'!$D$11</f>
        <v>0</v>
      </c>
      <c r="J25" s="226" t="n">
        <f aca="false">+J24*'3a-SalesForecastYear1'!$D$11</f>
        <v>0</v>
      </c>
      <c r="K25" s="226" t="n">
        <f aca="false">+K24*'3a-SalesForecastYear1'!$D$11</f>
        <v>0</v>
      </c>
      <c r="L25" s="226" t="n">
        <f aca="false">+L24*'3a-SalesForecastYear1'!$D$11</f>
        <v>0</v>
      </c>
      <c r="M25" s="226" t="n">
        <f aca="false">+M24*'3a-SalesForecastYear1'!$D$11</f>
        <v>0</v>
      </c>
      <c r="N25" s="226" t="n">
        <f aca="false">+N24*'3a-SalesForecastYear1'!$D$11</f>
        <v>0</v>
      </c>
      <c r="O25" s="201" t="n">
        <f aca="false">SUM(C25:N25)</f>
        <v>0</v>
      </c>
      <c r="P25" s="190" t="n">
        <f aca="false">(P26+P27)</f>
        <v>0</v>
      </c>
      <c r="Q25" s="186" t="n">
        <f aca="false">IF($O$53=0,0,O25/$O$53)</f>
        <v>0</v>
      </c>
      <c r="R25" s="226" t="n">
        <f aca="false">+R24*'3a-SalesForecastYear1'!$D$11</f>
        <v>0</v>
      </c>
      <c r="S25" s="226" t="n">
        <f aca="false">+S24*'3a-SalesForecastYear1'!$D$11</f>
        <v>0</v>
      </c>
      <c r="T25" s="226" t="n">
        <f aca="false">+T24*'3a-SalesForecastYear1'!$D$11</f>
        <v>0</v>
      </c>
      <c r="U25" s="226" t="n">
        <f aca="false">+U24*'3a-SalesForecastYear1'!$D$11</f>
        <v>0</v>
      </c>
      <c r="V25" s="226" t="n">
        <f aca="false">+V24*'3a-SalesForecastYear1'!$D$11</f>
        <v>0</v>
      </c>
      <c r="W25" s="226" t="n">
        <f aca="false">+W24*'3a-SalesForecastYear1'!$D$11</f>
        <v>0</v>
      </c>
      <c r="X25" s="226" t="n">
        <f aca="false">+X24*'3a-SalesForecastYear1'!$D$11</f>
        <v>0</v>
      </c>
      <c r="Y25" s="226" t="n">
        <f aca="false">+Y24*'3a-SalesForecastYear1'!$D$11</f>
        <v>0</v>
      </c>
      <c r="Z25" s="226" t="n">
        <f aca="false">+Z24*'3a-SalesForecastYear1'!$D$11</f>
        <v>0</v>
      </c>
      <c r="AA25" s="226" t="n">
        <f aca="false">+AA24*'3a-SalesForecastYear1'!$D$11</f>
        <v>0</v>
      </c>
      <c r="AB25" s="226" t="n">
        <f aca="false">+AB24*'3a-SalesForecastYear1'!$D$11</f>
        <v>0</v>
      </c>
      <c r="AC25" s="226" t="n">
        <f aca="false">+AC24*'3a-SalesForecastYear1'!$D$11</f>
        <v>0</v>
      </c>
      <c r="AD25" s="201" t="n">
        <f aca="false">SUM(R25:AC25)</f>
        <v>0</v>
      </c>
      <c r="AE25" s="190" t="n">
        <f aca="false">(AE26+AE27)</f>
        <v>0</v>
      </c>
      <c r="AF25" s="186" t="n">
        <f aca="false">IF($O$53=0,0,AD25/$O$53)</f>
        <v>0</v>
      </c>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3.8" hidden="false" customHeight="false" outlineLevel="0" collapsed="false">
      <c r="A26" s="200" t="s">
        <v>103</v>
      </c>
      <c r="B26" s="229" t="n">
        <f aca="false">'3a-SalesForecastYear1'!O32</f>
        <v>0</v>
      </c>
      <c r="C26" s="226" t="n">
        <f aca="false">+C24*'3a-SalesForecastYear1'!$E$11</f>
        <v>0</v>
      </c>
      <c r="D26" s="226" t="n">
        <f aca="false">+D24*'3a-SalesForecastYear1'!$E$11</f>
        <v>0</v>
      </c>
      <c r="E26" s="226" t="n">
        <f aca="false">+E24*'3a-SalesForecastYear1'!$E$11</f>
        <v>0</v>
      </c>
      <c r="F26" s="226" t="n">
        <f aca="false">+F24*'3a-SalesForecastYear1'!$E$11</f>
        <v>0</v>
      </c>
      <c r="G26" s="226" t="n">
        <f aca="false">+G24*'3a-SalesForecastYear1'!$E$11</f>
        <v>0</v>
      </c>
      <c r="H26" s="226" t="n">
        <f aca="false">+H24*'3a-SalesForecastYear1'!$E$11</f>
        <v>0</v>
      </c>
      <c r="I26" s="226" t="n">
        <f aca="false">+I24*'3a-SalesForecastYear1'!$E$11</f>
        <v>0</v>
      </c>
      <c r="J26" s="226" t="n">
        <f aca="false">+J24*'3a-SalesForecastYear1'!$E$11</f>
        <v>0</v>
      </c>
      <c r="K26" s="226" t="n">
        <f aca="false">+K24*'3a-SalesForecastYear1'!$E$11</f>
        <v>0</v>
      </c>
      <c r="L26" s="226" t="n">
        <f aca="false">+L24*'3a-SalesForecastYear1'!$E$11</f>
        <v>0</v>
      </c>
      <c r="M26" s="226" t="n">
        <f aca="false">+M24*'3a-SalesForecastYear1'!$E$11</f>
        <v>0</v>
      </c>
      <c r="N26" s="226" t="n">
        <f aca="false">+N24*'3a-SalesForecastYear1'!$E$11</f>
        <v>0</v>
      </c>
      <c r="O26" s="201" t="n">
        <f aca="false">SUM(C26:N26)</f>
        <v>0</v>
      </c>
      <c r="P26" s="190" t="n">
        <f aca="false">IF(O25=0,0,O26/O25)</f>
        <v>0</v>
      </c>
      <c r="Q26" s="186" t="n">
        <f aca="false">IF($O$54=0,0,O26/$O$54)</f>
        <v>0</v>
      </c>
      <c r="R26" s="226" t="n">
        <f aca="false">+R24*'3a-SalesForecastYear1'!$E$11</f>
        <v>0</v>
      </c>
      <c r="S26" s="226" t="n">
        <f aca="false">+S24*'3a-SalesForecastYear1'!$E$11</f>
        <v>0</v>
      </c>
      <c r="T26" s="226" t="n">
        <f aca="false">+T24*'3a-SalesForecastYear1'!$E$11</f>
        <v>0</v>
      </c>
      <c r="U26" s="226" t="n">
        <f aca="false">+U24*'3a-SalesForecastYear1'!$E$11</f>
        <v>0</v>
      </c>
      <c r="V26" s="226" t="n">
        <f aca="false">+V24*'3a-SalesForecastYear1'!$E$11</f>
        <v>0</v>
      </c>
      <c r="W26" s="226" t="n">
        <f aca="false">+W24*'3a-SalesForecastYear1'!$E$11</f>
        <v>0</v>
      </c>
      <c r="X26" s="226" t="n">
        <f aca="false">+X24*'3a-SalesForecastYear1'!$E$11</f>
        <v>0</v>
      </c>
      <c r="Y26" s="226" t="n">
        <f aca="false">+Y24*'3a-SalesForecastYear1'!$E$11</f>
        <v>0</v>
      </c>
      <c r="Z26" s="226" t="n">
        <f aca="false">+Z24*'3a-SalesForecastYear1'!$E$11</f>
        <v>0</v>
      </c>
      <c r="AA26" s="226" t="n">
        <f aca="false">+AA24*'3a-SalesForecastYear1'!$E$11</f>
        <v>0</v>
      </c>
      <c r="AB26" s="226" t="n">
        <f aca="false">+AB24*'3a-SalesForecastYear1'!$E$11</f>
        <v>0</v>
      </c>
      <c r="AC26" s="226" t="n">
        <f aca="false">+AC24*'3a-SalesForecastYear1'!$E$11</f>
        <v>0</v>
      </c>
      <c r="AD26" s="201" t="n">
        <f aca="false">SUM(R26:AC26)</f>
        <v>0</v>
      </c>
      <c r="AE26" s="190" t="n">
        <f aca="false">IF(AD25=0,0,AD26/AD25)</f>
        <v>0</v>
      </c>
      <c r="AF26" s="186" t="n">
        <f aca="false">IF($O$54=0,0,AD26/$O$54)</f>
        <v>0</v>
      </c>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8" hidden="false" customHeight="false" outlineLevel="0" collapsed="false">
      <c r="A27" s="183" t="s">
        <v>105</v>
      </c>
      <c r="B27" s="225" t="n">
        <f aca="false">'3a-SalesForecastYear1'!O33</f>
        <v>0</v>
      </c>
      <c r="C27" s="226" t="n">
        <f aca="false">C25-C26</f>
        <v>0</v>
      </c>
      <c r="D27" s="226" t="n">
        <f aca="false">D25-D26</f>
        <v>0</v>
      </c>
      <c r="E27" s="226" t="n">
        <f aca="false">E25-E26</f>
        <v>0</v>
      </c>
      <c r="F27" s="226" t="n">
        <f aca="false">F25-F26</f>
        <v>0</v>
      </c>
      <c r="G27" s="226" t="n">
        <f aca="false">G25-G26</f>
        <v>0</v>
      </c>
      <c r="H27" s="226" t="n">
        <f aca="false">H25-H26</f>
        <v>0</v>
      </c>
      <c r="I27" s="226" t="n">
        <f aca="false">I25-I26</f>
        <v>0</v>
      </c>
      <c r="J27" s="226" t="n">
        <f aca="false">J25-J26</f>
        <v>0</v>
      </c>
      <c r="K27" s="226" t="n">
        <f aca="false">K25-K26</f>
        <v>0</v>
      </c>
      <c r="L27" s="226" t="n">
        <f aca="false">L25-L26</f>
        <v>0</v>
      </c>
      <c r="M27" s="226" t="n">
        <f aca="false">M25-M26</f>
        <v>0</v>
      </c>
      <c r="N27" s="226" t="n">
        <f aca="false">N25-N26</f>
        <v>0</v>
      </c>
      <c r="O27" s="201" t="n">
        <f aca="false">SUM(C27:N27)</f>
        <v>0</v>
      </c>
      <c r="P27" s="190" t="n">
        <f aca="false">IF(O25=0,0,O27/O25)</f>
        <v>0</v>
      </c>
      <c r="Q27" s="186" t="n">
        <f aca="false">IF($O$55=0,0,O27/$O$55)</f>
        <v>0</v>
      </c>
      <c r="R27" s="226" t="n">
        <f aca="false">R25-R26</f>
        <v>0</v>
      </c>
      <c r="S27" s="226" t="n">
        <f aca="false">S25-S26</f>
        <v>0</v>
      </c>
      <c r="T27" s="226" t="n">
        <f aca="false">T25-T26</f>
        <v>0</v>
      </c>
      <c r="U27" s="226" t="n">
        <f aca="false">U25-U26</f>
        <v>0</v>
      </c>
      <c r="V27" s="226" t="n">
        <f aca="false">V25-V26</f>
        <v>0</v>
      </c>
      <c r="W27" s="226" t="n">
        <f aca="false">W25-W26</f>
        <v>0</v>
      </c>
      <c r="X27" s="226" t="n">
        <f aca="false">X25-X26</f>
        <v>0</v>
      </c>
      <c r="Y27" s="226" t="n">
        <f aca="false">Y25-Y26</f>
        <v>0</v>
      </c>
      <c r="Z27" s="226" t="n">
        <f aca="false">Z25-Z26</f>
        <v>0</v>
      </c>
      <c r="AA27" s="226" t="n">
        <f aca="false">AA25-AA26</f>
        <v>0</v>
      </c>
      <c r="AB27" s="226" t="n">
        <f aca="false">AB25-AB26</f>
        <v>0</v>
      </c>
      <c r="AC27" s="226" t="n">
        <f aca="false">AC25-AC26</f>
        <v>0</v>
      </c>
      <c r="AD27" s="201" t="n">
        <f aca="false">SUM(R27:AC27)</f>
        <v>0</v>
      </c>
      <c r="AE27" s="190" t="n">
        <f aca="false">IF(AD25=0,0,AD27/AD25)</f>
        <v>0</v>
      </c>
      <c r="AF27" s="186" t="n">
        <f aca="false">IF($O$55=0,0,AD27/$O$55)</f>
        <v>0</v>
      </c>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s="96" customFormat="true" ht="13.8" hidden="false" customHeight="false" outlineLevel="0" collapsed="false">
      <c r="A28" s="205"/>
      <c r="B28" s="230"/>
      <c r="C28" s="194"/>
      <c r="D28" s="194"/>
      <c r="E28" s="194"/>
      <c r="F28" s="194"/>
      <c r="G28" s="194"/>
      <c r="H28" s="194"/>
      <c r="I28" s="194"/>
      <c r="J28" s="194"/>
      <c r="K28" s="194"/>
      <c r="L28" s="194"/>
      <c r="M28" s="194"/>
      <c r="N28" s="194"/>
      <c r="O28" s="195"/>
      <c r="P28" s="113"/>
      <c r="Q28" s="196"/>
      <c r="R28" s="194"/>
      <c r="S28" s="194"/>
      <c r="T28" s="194"/>
      <c r="U28" s="194"/>
      <c r="V28" s="194"/>
      <c r="W28" s="194"/>
      <c r="X28" s="194"/>
      <c r="Y28" s="194"/>
      <c r="Z28" s="194"/>
      <c r="AA28" s="194"/>
      <c r="AB28" s="194"/>
      <c r="AC28" s="194"/>
      <c r="AD28" s="195"/>
      <c r="AE28" s="113"/>
      <c r="AF28" s="196"/>
    </row>
    <row r="29" s="95" customFormat="true" ht="13.8" hidden="false" customHeight="false" outlineLevel="0" collapsed="false">
      <c r="A29" s="180" t="str">
        <f aca="false">'3a-SalesForecastYear1'!B35</f>
        <v>Product 4</v>
      </c>
      <c r="B29" s="180"/>
      <c r="C29" s="198"/>
      <c r="D29" s="198"/>
      <c r="E29" s="198"/>
      <c r="F29" s="198"/>
      <c r="G29" s="198"/>
      <c r="H29" s="198"/>
      <c r="I29" s="198"/>
      <c r="J29" s="198"/>
      <c r="K29" s="198"/>
      <c r="L29" s="198"/>
      <c r="M29" s="198"/>
      <c r="N29" s="198"/>
      <c r="O29" s="182"/>
      <c r="P29" s="113"/>
      <c r="Q29" s="196"/>
      <c r="R29" s="198"/>
      <c r="S29" s="198"/>
      <c r="T29" s="198"/>
      <c r="U29" s="198"/>
      <c r="V29" s="198"/>
      <c r="W29" s="198"/>
      <c r="X29" s="198"/>
      <c r="Y29" s="198"/>
      <c r="Z29" s="198"/>
      <c r="AA29" s="198"/>
      <c r="AB29" s="198"/>
      <c r="AC29" s="198"/>
      <c r="AD29" s="182"/>
      <c r="AE29" s="113"/>
      <c r="AF29" s="196"/>
    </row>
    <row r="30" customFormat="false" ht="13.8" hidden="false" customHeight="false" outlineLevel="0" collapsed="false">
      <c r="A30" s="183" t="str">
        <f aca="false">Unit4&amp; " Sold"</f>
        <v> Sold</v>
      </c>
      <c r="B30" s="183" t="n">
        <f aca="false">Unit4_Annual</f>
        <v>0</v>
      </c>
      <c r="C30" s="231" t="n">
        <f aca="false">'3a-SalesForecastYear1'!C36+('3a-SalesForecastYear1'!C36*$C$7)</f>
        <v>0</v>
      </c>
      <c r="D30" s="231" t="n">
        <f aca="false">'3a-SalesForecastYear1'!D36+('3a-SalesForecastYear1'!D36*$C$7)</f>
        <v>0</v>
      </c>
      <c r="E30" s="231" t="n">
        <f aca="false">'3a-SalesForecastYear1'!E36+('3a-SalesForecastYear1'!E36*$C$7)</f>
        <v>0</v>
      </c>
      <c r="F30" s="231" t="n">
        <f aca="false">'3a-SalesForecastYear1'!F36+('3a-SalesForecastYear1'!F36*$C$7)</f>
        <v>0</v>
      </c>
      <c r="G30" s="231" t="n">
        <f aca="false">'3a-SalesForecastYear1'!G36+('3a-SalesForecastYear1'!G36*$C$7)</f>
        <v>0</v>
      </c>
      <c r="H30" s="231" t="n">
        <f aca="false">'3a-SalesForecastYear1'!H36+('3a-SalesForecastYear1'!H36*$C$7)</f>
        <v>0</v>
      </c>
      <c r="I30" s="231" t="n">
        <f aca="false">'3a-SalesForecastYear1'!I36+('3a-SalesForecastYear1'!I36*$C$7)</f>
        <v>0</v>
      </c>
      <c r="J30" s="231" t="n">
        <f aca="false">'3a-SalesForecastYear1'!J36+('3a-SalesForecastYear1'!J36*$C$7)</f>
        <v>0</v>
      </c>
      <c r="K30" s="231" t="n">
        <f aca="false">'3a-SalesForecastYear1'!K36+('3a-SalesForecastYear1'!K36*$C$7)</f>
        <v>0</v>
      </c>
      <c r="L30" s="231" t="n">
        <f aca="false">'3a-SalesForecastYear1'!L36+('3a-SalesForecastYear1'!L36*$C$7)</f>
        <v>0</v>
      </c>
      <c r="M30" s="231" t="n">
        <f aca="false">'3a-SalesForecastYear1'!M36+('3a-SalesForecastYear1'!M36*$C$7)</f>
        <v>0</v>
      </c>
      <c r="N30" s="231" t="n">
        <f aca="false">'3a-SalesForecastYear1'!N36+('3a-SalesForecastYear1'!N36*$C$7)</f>
        <v>0</v>
      </c>
      <c r="O30" s="199" t="n">
        <f aca="false">SUM(C30:N30)</f>
        <v>0</v>
      </c>
      <c r="P30" s="113"/>
      <c r="Q30" s="186" t="n">
        <f aca="false">IF($O$52=0,0,O30/$O$52)</f>
        <v>0</v>
      </c>
      <c r="R30" s="231" t="n">
        <f aca="false">C30+(C30*$C$8)</f>
        <v>0</v>
      </c>
      <c r="S30" s="231" t="n">
        <f aca="false">D30+(D30*$C$8)</f>
        <v>0</v>
      </c>
      <c r="T30" s="231" t="n">
        <f aca="false">E30+(E30*$C$8)</f>
        <v>0</v>
      </c>
      <c r="U30" s="231" t="n">
        <f aca="false">F30+(F30*$C$8)</f>
        <v>0</v>
      </c>
      <c r="V30" s="231" t="n">
        <f aca="false">G30+(G30*$C$8)</f>
        <v>0</v>
      </c>
      <c r="W30" s="231" t="n">
        <f aca="false">H30+(H30*$C$8)</f>
        <v>0</v>
      </c>
      <c r="X30" s="231" t="n">
        <f aca="false">I30+(I30*$C$8)</f>
        <v>0</v>
      </c>
      <c r="Y30" s="231" t="n">
        <f aca="false">J30+(J30*$C$8)</f>
        <v>0</v>
      </c>
      <c r="Z30" s="231" t="n">
        <f aca="false">K30+(K30*$C$8)</f>
        <v>0</v>
      </c>
      <c r="AA30" s="231" t="n">
        <f aca="false">L30+(L30*$C$8)</f>
        <v>0</v>
      </c>
      <c r="AB30" s="231" t="n">
        <f aca="false">M30+(M30*$C$8)</f>
        <v>0</v>
      </c>
      <c r="AC30" s="231" t="n">
        <f aca="false">N30+(N30*$C$8)</f>
        <v>0</v>
      </c>
      <c r="AD30" s="199" t="n">
        <f aca="false">SUM(R30:AC30)</f>
        <v>0</v>
      </c>
      <c r="AE30" s="113"/>
      <c r="AF30" s="186" t="n">
        <f aca="false">IF($O$52=0,0,AD30/$O$52)</f>
        <v>0</v>
      </c>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3.8" hidden="false" customHeight="false" outlineLevel="0" collapsed="false">
      <c r="A31" s="200" t="s">
        <v>102</v>
      </c>
      <c r="B31" s="200" t="n">
        <f aca="false">Category4_Annual_Sales</f>
        <v>0</v>
      </c>
      <c r="C31" s="226" t="n">
        <f aca="false">+C30*'3a-SalesForecastYear1'!$D$12</f>
        <v>0</v>
      </c>
      <c r="D31" s="226" t="n">
        <f aca="false">+D30*'3a-SalesForecastYear1'!$D$12</f>
        <v>0</v>
      </c>
      <c r="E31" s="226" t="n">
        <f aca="false">+E30*'3a-SalesForecastYear1'!$D$12</f>
        <v>0</v>
      </c>
      <c r="F31" s="226" t="n">
        <f aca="false">+F30*'3a-SalesForecastYear1'!$D$12</f>
        <v>0</v>
      </c>
      <c r="G31" s="226" t="n">
        <f aca="false">+G30*'3a-SalesForecastYear1'!$D$12</f>
        <v>0</v>
      </c>
      <c r="H31" s="226" t="n">
        <f aca="false">+H30*'3a-SalesForecastYear1'!$D$12</f>
        <v>0</v>
      </c>
      <c r="I31" s="226" t="n">
        <f aca="false">+I30*'3a-SalesForecastYear1'!$D$12</f>
        <v>0</v>
      </c>
      <c r="J31" s="226" t="n">
        <f aca="false">+J30*'3a-SalesForecastYear1'!$D$12</f>
        <v>0</v>
      </c>
      <c r="K31" s="226" t="n">
        <f aca="false">+K30*'3a-SalesForecastYear1'!$D$12</f>
        <v>0</v>
      </c>
      <c r="L31" s="226" t="n">
        <f aca="false">+L30*'3a-SalesForecastYear1'!$D$12</f>
        <v>0</v>
      </c>
      <c r="M31" s="226" t="n">
        <f aca="false">+M30*'3a-SalesForecastYear1'!$D$12</f>
        <v>0</v>
      </c>
      <c r="N31" s="226" t="n">
        <f aca="false">+N30*'3a-SalesForecastYear1'!$D$12</f>
        <v>0</v>
      </c>
      <c r="O31" s="189" t="n">
        <f aca="false">SUM(C31:N31)</f>
        <v>0</v>
      </c>
      <c r="P31" s="190" t="n">
        <f aca="false">(P32+P33)</f>
        <v>0</v>
      </c>
      <c r="Q31" s="186" t="n">
        <f aca="false">IF($O$53=0,0,O31/$O$53)</f>
        <v>0</v>
      </c>
      <c r="R31" s="226" t="n">
        <f aca="false">+R30*'3a-SalesForecastYear1'!$D$12</f>
        <v>0</v>
      </c>
      <c r="S31" s="226" t="n">
        <f aca="false">+S30*'3a-SalesForecastYear1'!$D$12</f>
        <v>0</v>
      </c>
      <c r="T31" s="226" t="n">
        <f aca="false">+T30*'3a-SalesForecastYear1'!$D$12</f>
        <v>0</v>
      </c>
      <c r="U31" s="226" t="n">
        <f aca="false">+U30*'3a-SalesForecastYear1'!$D$12</f>
        <v>0</v>
      </c>
      <c r="V31" s="226" t="n">
        <f aca="false">+V30*'3a-SalesForecastYear1'!$D$12</f>
        <v>0</v>
      </c>
      <c r="W31" s="226" t="n">
        <f aca="false">+W30*'3a-SalesForecastYear1'!$D$12</f>
        <v>0</v>
      </c>
      <c r="X31" s="226" t="n">
        <f aca="false">+X30*'3a-SalesForecastYear1'!$D$12</f>
        <v>0</v>
      </c>
      <c r="Y31" s="226" t="n">
        <f aca="false">+Y30*'3a-SalesForecastYear1'!$D$12</f>
        <v>0</v>
      </c>
      <c r="Z31" s="226" t="n">
        <f aca="false">+Z30*'3a-SalesForecastYear1'!$D$12</f>
        <v>0</v>
      </c>
      <c r="AA31" s="226" t="n">
        <f aca="false">+AA30*'3a-SalesForecastYear1'!$D$12</f>
        <v>0</v>
      </c>
      <c r="AB31" s="226" t="n">
        <f aca="false">+AB30*'3a-SalesForecastYear1'!$D$12</f>
        <v>0</v>
      </c>
      <c r="AC31" s="226" t="n">
        <f aca="false">+AC30*'3a-SalesForecastYear1'!$D$12</f>
        <v>0</v>
      </c>
      <c r="AD31" s="189" t="n">
        <f aca="false">SUM(R31:AC31)</f>
        <v>0</v>
      </c>
      <c r="AE31" s="190" t="n">
        <f aca="false">(AE32+AE33)</f>
        <v>0</v>
      </c>
      <c r="AF31" s="186" t="n">
        <f aca="false">IF($O$53=0,0,AD31/$O$53)</f>
        <v>0</v>
      </c>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200" t="s">
        <v>103</v>
      </c>
      <c r="B32" s="229" t="n">
        <f aca="false">'3a-SalesForecastYear1'!O38</f>
        <v>0</v>
      </c>
      <c r="C32" s="226" t="n">
        <f aca="false">+C30*'3a-SalesForecastYear1'!$E$12</f>
        <v>0</v>
      </c>
      <c r="D32" s="226" t="n">
        <f aca="false">+D30*'3a-SalesForecastYear1'!$E$12</f>
        <v>0</v>
      </c>
      <c r="E32" s="226" t="n">
        <f aca="false">+E30*'3a-SalesForecastYear1'!$E$12</f>
        <v>0</v>
      </c>
      <c r="F32" s="226" t="n">
        <f aca="false">+F30*'3a-SalesForecastYear1'!$E$12</f>
        <v>0</v>
      </c>
      <c r="G32" s="226" t="n">
        <f aca="false">+G30*'3a-SalesForecastYear1'!$E$12</f>
        <v>0</v>
      </c>
      <c r="H32" s="226" t="n">
        <f aca="false">+H30*'3a-SalesForecastYear1'!$E$12</f>
        <v>0</v>
      </c>
      <c r="I32" s="226" t="n">
        <f aca="false">+I30*'3a-SalesForecastYear1'!$E$12</f>
        <v>0</v>
      </c>
      <c r="J32" s="226" t="n">
        <f aca="false">+J30*'3a-SalesForecastYear1'!$E$12</f>
        <v>0</v>
      </c>
      <c r="K32" s="226" t="n">
        <f aca="false">+K30*'3a-SalesForecastYear1'!$E$12</f>
        <v>0</v>
      </c>
      <c r="L32" s="226" t="n">
        <f aca="false">+L30*'3a-SalesForecastYear1'!$E$12</f>
        <v>0</v>
      </c>
      <c r="M32" s="226" t="n">
        <f aca="false">+M30*'3a-SalesForecastYear1'!$E$12</f>
        <v>0</v>
      </c>
      <c r="N32" s="226" t="n">
        <f aca="false">+N30*'3a-SalesForecastYear1'!$E$12</f>
        <v>0</v>
      </c>
      <c r="O32" s="189" t="n">
        <f aca="false">SUM(C32:N32)</f>
        <v>0</v>
      </c>
      <c r="P32" s="190" t="n">
        <f aca="false">IF(O31=0,0,O32/O31)</f>
        <v>0</v>
      </c>
      <c r="Q32" s="186" t="n">
        <f aca="false">IF($O$54=0,0,O32/$O$54)</f>
        <v>0</v>
      </c>
      <c r="R32" s="226" t="n">
        <f aca="false">+R30*'3a-SalesForecastYear1'!$E$12</f>
        <v>0</v>
      </c>
      <c r="S32" s="226" t="n">
        <f aca="false">+S30*'3a-SalesForecastYear1'!$E$12</f>
        <v>0</v>
      </c>
      <c r="T32" s="226" t="n">
        <f aca="false">+T30*'3a-SalesForecastYear1'!$E$12</f>
        <v>0</v>
      </c>
      <c r="U32" s="226" t="n">
        <f aca="false">+U30*'3a-SalesForecastYear1'!$E$12</f>
        <v>0</v>
      </c>
      <c r="V32" s="226" t="n">
        <f aca="false">+V30*'3a-SalesForecastYear1'!$E$12</f>
        <v>0</v>
      </c>
      <c r="W32" s="226" t="n">
        <f aca="false">+W30*'3a-SalesForecastYear1'!$E$12</f>
        <v>0</v>
      </c>
      <c r="X32" s="226" t="n">
        <f aca="false">+X30*'3a-SalesForecastYear1'!$E$12</f>
        <v>0</v>
      </c>
      <c r="Y32" s="226" t="n">
        <f aca="false">+Y30*'3a-SalesForecastYear1'!$E$12</f>
        <v>0</v>
      </c>
      <c r="Z32" s="226" t="n">
        <f aca="false">+Z30*'3a-SalesForecastYear1'!$E$12</f>
        <v>0</v>
      </c>
      <c r="AA32" s="226" t="n">
        <f aca="false">+AA30*'3a-SalesForecastYear1'!$E$12</f>
        <v>0</v>
      </c>
      <c r="AB32" s="226" t="n">
        <f aca="false">+AB30*'3a-SalesForecastYear1'!$E$12</f>
        <v>0</v>
      </c>
      <c r="AC32" s="226" t="n">
        <f aca="false">+AC30*'3a-SalesForecastYear1'!$E$12</f>
        <v>0</v>
      </c>
      <c r="AD32" s="189" t="n">
        <f aca="false">SUM(R32:AC32)</f>
        <v>0</v>
      </c>
      <c r="AE32" s="190" t="n">
        <f aca="false">IF(AD31=0,0,AD32/AD31)</f>
        <v>0</v>
      </c>
      <c r="AF32" s="186" t="n">
        <f aca="false">IF($O$54=0,0,AD32/$O$54)</f>
        <v>0</v>
      </c>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s="96" customFormat="true" ht="13.8" hidden="false" customHeight="false" outlineLevel="0" collapsed="false">
      <c r="A33" s="183" t="s">
        <v>105</v>
      </c>
      <c r="B33" s="225" t="n">
        <f aca="false">'3a-SalesForecastYear1'!O39</f>
        <v>0</v>
      </c>
      <c r="C33" s="232" t="n">
        <f aca="false">C31-C32</f>
        <v>0</v>
      </c>
      <c r="D33" s="232" t="n">
        <f aca="false">D31-D32</f>
        <v>0</v>
      </c>
      <c r="E33" s="232" t="n">
        <f aca="false">E31-E32</f>
        <v>0</v>
      </c>
      <c r="F33" s="232" t="n">
        <f aca="false">F31-F32</f>
        <v>0</v>
      </c>
      <c r="G33" s="232" t="n">
        <f aca="false">G31-G32</f>
        <v>0</v>
      </c>
      <c r="H33" s="232" t="n">
        <f aca="false">H31-H32</f>
        <v>0</v>
      </c>
      <c r="I33" s="232" t="n">
        <f aca="false">I31-I32</f>
        <v>0</v>
      </c>
      <c r="J33" s="232" t="n">
        <f aca="false">J31-J32</f>
        <v>0</v>
      </c>
      <c r="K33" s="232" t="n">
        <f aca="false">K31-K32</f>
        <v>0</v>
      </c>
      <c r="L33" s="232" t="n">
        <f aca="false">L31-L32</f>
        <v>0</v>
      </c>
      <c r="M33" s="232" t="n">
        <f aca="false">M31-M32</f>
        <v>0</v>
      </c>
      <c r="N33" s="232" t="n">
        <f aca="false">N31-N32</f>
        <v>0</v>
      </c>
      <c r="O33" s="189" t="n">
        <f aca="false">SUM(C33:N33)</f>
        <v>0</v>
      </c>
      <c r="P33" s="190" t="n">
        <f aca="false">IF(O31=0,0,O33/O31)</f>
        <v>0</v>
      </c>
      <c r="Q33" s="186" t="n">
        <f aca="false">IF($O$55=0,0,O33/$O$55)</f>
        <v>0</v>
      </c>
      <c r="R33" s="226" t="n">
        <f aca="false">R31-R32</f>
        <v>0</v>
      </c>
      <c r="S33" s="226" t="n">
        <f aca="false">S31-S32</f>
        <v>0</v>
      </c>
      <c r="T33" s="226" t="n">
        <f aca="false">T31-T32</f>
        <v>0</v>
      </c>
      <c r="U33" s="226" t="n">
        <f aca="false">U31-U32</f>
        <v>0</v>
      </c>
      <c r="V33" s="226" t="n">
        <f aca="false">V31-V32</f>
        <v>0</v>
      </c>
      <c r="W33" s="226" t="n">
        <f aca="false">W31-W32</f>
        <v>0</v>
      </c>
      <c r="X33" s="226" t="n">
        <f aca="false">X31-X32</f>
        <v>0</v>
      </c>
      <c r="Y33" s="226" t="n">
        <f aca="false">Y31-Y32</f>
        <v>0</v>
      </c>
      <c r="Z33" s="226" t="n">
        <f aca="false">Z31-Z32</f>
        <v>0</v>
      </c>
      <c r="AA33" s="226" t="n">
        <f aca="false">AA31-AA32</f>
        <v>0</v>
      </c>
      <c r="AB33" s="226" t="n">
        <f aca="false">AB31-AB32</f>
        <v>0</v>
      </c>
      <c r="AC33" s="226" t="n">
        <f aca="false">AC31-AC32</f>
        <v>0</v>
      </c>
      <c r="AD33" s="189" t="n">
        <f aca="false">SUM(R33:AC33)</f>
        <v>0</v>
      </c>
      <c r="AE33" s="190" t="n">
        <f aca="false">IF(AD31=0,0,AD33/AD31)</f>
        <v>0</v>
      </c>
      <c r="AF33" s="186" t="n">
        <f aca="false">IF($O$55=0,0,AD33/$O$55)</f>
        <v>0</v>
      </c>
    </row>
    <row r="34" customFormat="false" ht="13.8" hidden="false" customHeight="false" outlineLevel="0" collapsed="false">
      <c r="A34" s="205"/>
      <c r="B34" s="230"/>
      <c r="C34" s="194"/>
      <c r="D34" s="194"/>
      <c r="E34" s="194"/>
      <c r="F34" s="207"/>
      <c r="G34" s="207"/>
      <c r="H34" s="207"/>
      <c r="I34" s="207"/>
      <c r="J34" s="207"/>
      <c r="K34" s="207"/>
      <c r="L34" s="207"/>
      <c r="M34" s="207"/>
      <c r="N34" s="207"/>
      <c r="O34" s="208"/>
      <c r="P34" s="113"/>
      <c r="Q34" s="196"/>
      <c r="R34" s="194"/>
      <c r="S34" s="194"/>
      <c r="T34" s="194"/>
      <c r="U34" s="207"/>
      <c r="V34" s="207"/>
      <c r="W34" s="207"/>
      <c r="X34" s="207"/>
      <c r="Y34" s="207"/>
      <c r="Z34" s="207"/>
      <c r="AA34" s="207"/>
      <c r="AB34" s="207"/>
      <c r="AC34" s="207"/>
      <c r="AD34" s="208"/>
      <c r="AE34" s="113"/>
      <c r="AF34" s="196"/>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3.8" hidden="false" customHeight="false" outlineLevel="0" collapsed="false">
      <c r="A35" s="180" t="str">
        <f aca="false">'3a-SalesForecastYear1'!B41</f>
        <v>Product 5</v>
      </c>
      <c r="B35" s="180"/>
      <c r="C35" s="202"/>
      <c r="D35" s="202"/>
      <c r="E35" s="202"/>
      <c r="F35" s="203"/>
      <c r="G35" s="203"/>
      <c r="H35" s="203"/>
      <c r="I35" s="203"/>
      <c r="J35" s="203"/>
      <c r="K35" s="203"/>
      <c r="L35" s="203"/>
      <c r="M35" s="203"/>
      <c r="N35" s="203"/>
      <c r="O35" s="182"/>
      <c r="P35" s="113"/>
      <c r="Q35" s="196"/>
      <c r="R35" s="202"/>
      <c r="S35" s="202"/>
      <c r="T35" s="202"/>
      <c r="U35" s="203"/>
      <c r="V35" s="203"/>
      <c r="W35" s="203"/>
      <c r="X35" s="203"/>
      <c r="Y35" s="203"/>
      <c r="Z35" s="203"/>
      <c r="AA35" s="203"/>
      <c r="AB35" s="203"/>
      <c r="AC35" s="203"/>
      <c r="AD35" s="182"/>
      <c r="AE35" s="113"/>
      <c r="AF35" s="196"/>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s="95" customFormat="true" ht="13.8" hidden="false" customHeight="false" outlineLevel="0" collapsed="false">
      <c r="A36" s="183" t="str">
        <f aca="false">Unit5&amp; " Sold"</f>
        <v> Sold</v>
      </c>
      <c r="B36" s="183" t="n">
        <f aca="false">Unit5_Annual</f>
        <v>0</v>
      </c>
      <c r="C36" s="224" t="n">
        <f aca="false">'3a-SalesForecastYear1'!C42+ ('3a-SalesForecastYear1'!C42*$C$7)</f>
        <v>0</v>
      </c>
      <c r="D36" s="224" t="n">
        <f aca="false">'3a-SalesForecastYear1'!D42+ ('3a-SalesForecastYear1'!D42*$C$7)</f>
        <v>0</v>
      </c>
      <c r="E36" s="224" t="n">
        <f aca="false">'3a-SalesForecastYear1'!E42+ ('3a-SalesForecastYear1'!E42*$C$7)</f>
        <v>0</v>
      </c>
      <c r="F36" s="224" t="n">
        <f aca="false">'3a-SalesForecastYear1'!F42+ ('3a-SalesForecastYear1'!F42*$C$7)</f>
        <v>0</v>
      </c>
      <c r="G36" s="224" t="n">
        <f aca="false">'3a-SalesForecastYear1'!G42+ ('3a-SalesForecastYear1'!G42*$C$7)</f>
        <v>0</v>
      </c>
      <c r="H36" s="224" t="n">
        <f aca="false">'3a-SalesForecastYear1'!H42+ ('3a-SalesForecastYear1'!H42*$C$7)</f>
        <v>0</v>
      </c>
      <c r="I36" s="224" t="n">
        <f aca="false">'3a-SalesForecastYear1'!I42+ ('3a-SalesForecastYear1'!I42*$C$7)</f>
        <v>0</v>
      </c>
      <c r="J36" s="224" t="n">
        <f aca="false">'3a-SalesForecastYear1'!J42+ ('3a-SalesForecastYear1'!J42*$C$7)</f>
        <v>0</v>
      </c>
      <c r="K36" s="224" t="n">
        <f aca="false">'3a-SalesForecastYear1'!K42+ ('3a-SalesForecastYear1'!K42*$C$7)</f>
        <v>0</v>
      </c>
      <c r="L36" s="224" t="n">
        <f aca="false">'3a-SalesForecastYear1'!L42+ ('3a-SalesForecastYear1'!L42*$C$7)</f>
        <v>0</v>
      </c>
      <c r="M36" s="224" t="n">
        <f aca="false">'3a-SalesForecastYear1'!M42+ ('3a-SalesForecastYear1'!M42*$C$7)</f>
        <v>0</v>
      </c>
      <c r="N36" s="224" t="n">
        <f aca="false">'3a-SalesForecastYear1'!N42+ ('3a-SalesForecastYear1'!N42*$C$7)</f>
        <v>0</v>
      </c>
      <c r="O36" s="185" t="n">
        <f aca="false">SUM(C36:N36)</f>
        <v>0</v>
      </c>
      <c r="P36" s="113"/>
      <c r="Q36" s="186" t="n">
        <f aca="false">IF($O$52=0,0,O36/$O$52)</f>
        <v>0</v>
      </c>
      <c r="R36" s="224" t="n">
        <f aca="false">C36+(C36*$C$8)</f>
        <v>0</v>
      </c>
      <c r="S36" s="224" t="n">
        <f aca="false">D36+(D36*$C$8)</f>
        <v>0</v>
      </c>
      <c r="T36" s="224" t="n">
        <f aca="false">E36+(E36*$C$8)</f>
        <v>0</v>
      </c>
      <c r="U36" s="224" t="n">
        <f aca="false">F36+(F36*$C$8)</f>
        <v>0</v>
      </c>
      <c r="V36" s="224" t="n">
        <f aca="false">G36+(G36*$C$8)</f>
        <v>0</v>
      </c>
      <c r="W36" s="224" t="n">
        <f aca="false">H36+(H36*$C$8)</f>
        <v>0</v>
      </c>
      <c r="X36" s="224" t="n">
        <f aca="false">I36+(I36*$C$8)</f>
        <v>0</v>
      </c>
      <c r="Y36" s="224" t="n">
        <f aca="false">J36+(J36*$C$8)</f>
        <v>0</v>
      </c>
      <c r="Z36" s="224" t="n">
        <f aca="false">K36+(K36*$C$8)</f>
        <v>0</v>
      </c>
      <c r="AA36" s="224" t="n">
        <f aca="false">L36+(L36*$C$8)</f>
        <v>0</v>
      </c>
      <c r="AB36" s="224" t="n">
        <f aca="false">M36+(M36*$C$8)</f>
        <v>0</v>
      </c>
      <c r="AC36" s="224" t="n">
        <f aca="false">N36+(N36*$C$8)</f>
        <v>0</v>
      </c>
      <c r="AD36" s="185" t="n">
        <f aca="false">SUM(R36:AC36)</f>
        <v>0</v>
      </c>
      <c r="AE36" s="113"/>
      <c r="AF36" s="186" t="n">
        <f aca="false">IF($O$52=0,0,AD36/$O$52)</f>
        <v>0</v>
      </c>
    </row>
    <row r="37" customFormat="false" ht="13.8" hidden="false" customHeight="false" outlineLevel="0" collapsed="false">
      <c r="A37" s="200" t="s">
        <v>102</v>
      </c>
      <c r="B37" s="229" t="n">
        <f aca="false">Category5_Annual_Sales</f>
        <v>0</v>
      </c>
      <c r="C37" s="226" t="n">
        <f aca="false">+C36*'3a-SalesForecastYear1'!$D$13</f>
        <v>0</v>
      </c>
      <c r="D37" s="226" t="n">
        <f aca="false">+D36*'3a-SalesForecastYear1'!$D$13</f>
        <v>0</v>
      </c>
      <c r="E37" s="226" t="n">
        <f aca="false">+E36*'3a-SalesForecastYear1'!$D$13</f>
        <v>0</v>
      </c>
      <c r="F37" s="226" t="n">
        <f aca="false">+F36*'3a-SalesForecastYear1'!$D$13</f>
        <v>0</v>
      </c>
      <c r="G37" s="226" t="n">
        <f aca="false">+G36*'3a-SalesForecastYear1'!$D$13</f>
        <v>0</v>
      </c>
      <c r="H37" s="226" t="n">
        <f aca="false">+H36*'3a-SalesForecastYear1'!$D$13</f>
        <v>0</v>
      </c>
      <c r="I37" s="226" t="n">
        <f aca="false">+I36*'3a-SalesForecastYear1'!$D$13</f>
        <v>0</v>
      </c>
      <c r="J37" s="226" t="n">
        <f aca="false">+J36*'3a-SalesForecastYear1'!$D$13</f>
        <v>0</v>
      </c>
      <c r="K37" s="226" t="n">
        <f aca="false">+K36*'3a-SalesForecastYear1'!$D$13</f>
        <v>0</v>
      </c>
      <c r="L37" s="226" t="n">
        <f aca="false">+L36*'3a-SalesForecastYear1'!$D$13</f>
        <v>0</v>
      </c>
      <c r="M37" s="226" t="n">
        <f aca="false">+M36*'3a-SalesForecastYear1'!$D$13</f>
        <v>0</v>
      </c>
      <c r="N37" s="226" t="n">
        <f aca="false">+N36*'3a-SalesForecastYear1'!$D$13</f>
        <v>0</v>
      </c>
      <c r="O37" s="189" t="n">
        <f aca="false">SUM(C37:N37)</f>
        <v>0</v>
      </c>
      <c r="P37" s="190" t="n">
        <f aca="false">(P38+P39)</f>
        <v>0</v>
      </c>
      <c r="Q37" s="186" t="n">
        <f aca="false">IF($O$53=0,0,O37/$O$53)</f>
        <v>0</v>
      </c>
      <c r="R37" s="226" t="n">
        <f aca="false">+R36*'3a-SalesForecastYear1'!$D$13</f>
        <v>0</v>
      </c>
      <c r="S37" s="226" t="n">
        <f aca="false">+S36*'3a-SalesForecastYear1'!$D$13</f>
        <v>0</v>
      </c>
      <c r="T37" s="226" t="n">
        <f aca="false">+T36*'3a-SalesForecastYear1'!$D$13</f>
        <v>0</v>
      </c>
      <c r="U37" s="226" t="n">
        <f aca="false">+U36*'3a-SalesForecastYear1'!$D$13</f>
        <v>0</v>
      </c>
      <c r="V37" s="226" t="n">
        <f aca="false">+V36*'3a-SalesForecastYear1'!$D$13</f>
        <v>0</v>
      </c>
      <c r="W37" s="226" t="n">
        <f aca="false">+W36*'3a-SalesForecastYear1'!$D$13</f>
        <v>0</v>
      </c>
      <c r="X37" s="226" t="n">
        <f aca="false">+X36*'3a-SalesForecastYear1'!$D$13</f>
        <v>0</v>
      </c>
      <c r="Y37" s="226" t="n">
        <f aca="false">+Y36*'3a-SalesForecastYear1'!$D$13</f>
        <v>0</v>
      </c>
      <c r="Z37" s="226" t="n">
        <f aca="false">+Z36*'3a-SalesForecastYear1'!$D$13</f>
        <v>0</v>
      </c>
      <c r="AA37" s="226" t="n">
        <f aca="false">+AA36*'3a-SalesForecastYear1'!$D$13</f>
        <v>0</v>
      </c>
      <c r="AB37" s="226" t="n">
        <f aca="false">+AB36*'3a-SalesForecastYear1'!$D$13</f>
        <v>0</v>
      </c>
      <c r="AC37" s="226" t="n">
        <f aca="false">+AC36*'3a-SalesForecastYear1'!$D$13</f>
        <v>0</v>
      </c>
      <c r="AD37" s="189" t="n">
        <f aca="false">SUM(R37:AC37)</f>
        <v>0</v>
      </c>
      <c r="AE37" s="190" t="n">
        <f aca="false">(AE38+AE39)</f>
        <v>0</v>
      </c>
      <c r="AF37" s="186" t="n">
        <f aca="false">IF($O$53=0,0,AD37/$O$53)</f>
        <v>0</v>
      </c>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13.8" hidden="false" customHeight="false" outlineLevel="0" collapsed="false">
      <c r="A38" s="200" t="s">
        <v>103</v>
      </c>
      <c r="B38" s="229" t="n">
        <f aca="false">'3a-SalesForecastYear1'!O44</f>
        <v>0</v>
      </c>
      <c r="C38" s="226" t="n">
        <f aca="false">+C36*'3a-SalesForecastYear1'!$E$13</f>
        <v>0</v>
      </c>
      <c r="D38" s="226" t="n">
        <f aca="false">+D36*'3a-SalesForecastYear1'!$E$13</f>
        <v>0</v>
      </c>
      <c r="E38" s="226" t="n">
        <f aca="false">+E36*'3a-SalesForecastYear1'!$E$13</f>
        <v>0</v>
      </c>
      <c r="F38" s="226" t="n">
        <f aca="false">+F36*'3a-SalesForecastYear1'!$E$13</f>
        <v>0</v>
      </c>
      <c r="G38" s="226" t="n">
        <f aca="false">+G36*'3a-SalesForecastYear1'!$E$13</f>
        <v>0</v>
      </c>
      <c r="H38" s="226" t="n">
        <f aca="false">+H36*'3a-SalesForecastYear1'!$E$13</f>
        <v>0</v>
      </c>
      <c r="I38" s="226" t="n">
        <f aca="false">+I36*'3a-SalesForecastYear1'!$E$13</f>
        <v>0</v>
      </c>
      <c r="J38" s="226" t="n">
        <f aca="false">+J36*'3a-SalesForecastYear1'!$E$13</f>
        <v>0</v>
      </c>
      <c r="K38" s="226" t="n">
        <f aca="false">+K36*'3a-SalesForecastYear1'!$E$13</f>
        <v>0</v>
      </c>
      <c r="L38" s="226" t="n">
        <f aca="false">+L36*'3a-SalesForecastYear1'!$E$13</f>
        <v>0</v>
      </c>
      <c r="M38" s="226" t="n">
        <f aca="false">+M36*'3a-SalesForecastYear1'!$E$13</f>
        <v>0</v>
      </c>
      <c r="N38" s="226" t="n">
        <f aca="false">+N36*'3a-SalesForecastYear1'!$E$13</f>
        <v>0</v>
      </c>
      <c r="O38" s="189" t="n">
        <f aca="false">SUM(C38:N38)</f>
        <v>0</v>
      </c>
      <c r="P38" s="190" t="n">
        <f aca="false">IF(O37=0,0,O38/O37)</f>
        <v>0</v>
      </c>
      <c r="Q38" s="186" t="n">
        <f aca="false">IF($O$54=0,0,O38/$O$54)</f>
        <v>0</v>
      </c>
      <c r="R38" s="226" t="n">
        <f aca="false">+R36*'3a-SalesForecastYear1'!$E$13</f>
        <v>0</v>
      </c>
      <c r="S38" s="226" t="n">
        <f aca="false">+S36*'3a-SalesForecastYear1'!$E$13</f>
        <v>0</v>
      </c>
      <c r="T38" s="226" t="n">
        <f aca="false">+T36*'3a-SalesForecastYear1'!$E$13</f>
        <v>0</v>
      </c>
      <c r="U38" s="226" t="n">
        <f aca="false">+U36*'3a-SalesForecastYear1'!$E$13</f>
        <v>0</v>
      </c>
      <c r="V38" s="226" t="n">
        <f aca="false">+V36*'3a-SalesForecastYear1'!$E$13</f>
        <v>0</v>
      </c>
      <c r="W38" s="226" t="n">
        <f aca="false">+W36*'3a-SalesForecastYear1'!$E$13</f>
        <v>0</v>
      </c>
      <c r="X38" s="226" t="n">
        <f aca="false">+X36*'3a-SalesForecastYear1'!$E$13</f>
        <v>0</v>
      </c>
      <c r="Y38" s="226" t="n">
        <f aca="false">+Y36*'3a-SalesForecastYear1'!$E$13</f>
        <v>0</v>
      </c>
      <c r="Z38" s="226" t="n">
        <f aca="false">+Z36*'3a-SalesForecastYear1'!$E$13</f>
        <v>0</v>
      </c>
      <c r="AA38" s="226" t="n">
        <f aca="false">+AA36*'3a-SalesForecastYear1'!$E$13</f>
        <v>0</v>
      </c>
      <c r="AB38" s="226" t="n">
        <f aca="false">+AB36*'3a-SalesForecastYear1'!$E$13</f>
        <v>0</v>
      </c>
      <c r="AC38" s="226" t="n">
        <f aca="false">+AC36*'3a-SalesForecastYear1'!$E$13</f>
        <v>0</v>
      </c>
      <c r="AD38" s="189" t="n">
        <f aca="false">SUM(R38:AC38)</f>
        <v>0</v>
      </c>
      <c r="AE38" s="190" t="n">
        <f aca="false">IF(AD37=0,0,AD38/AD37)</f>
        <v>0</v>
      </c>
      <c r="AF38" s="186" t="n">
        <f aca="false">IF($O$54=0,0,AD38/$O$54)</f>
        <v>0</v>
      </c>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3.8" hidden="false" customHeight="false" outlineLevel="0" collapsed="false">
      <c r="A39" s="183" t="s">
        <v>105</v>
      </c>
      <c r="B39" s="225" t="n">
        <f aca="false">'3a-SalesForecastYear1'!O45</f>
        <v>0</v>
      </c>
      <c r="C39" s="233" t="n">
        <f aca="false">C37-C38</f>
        <v>0</v>
      </c>
      <c r="D39" s="233" t="n">
        <f aca="false">D37-D38</f>
        <v>0</v>
      </c>
      <c r="E39" s="233" t="n">
        <f aca="false">E37-E38</f>
        <v>0</v>
      </c>
      <c r="F39" s="233" t="n">
        <f aca="false">F37-F38</f>
        <v>0</v>
      </c>
      <c r="G39" s="233" t="n">
        <f aca="false">G37-G38</f>
        <v>0</v>
      </c>
      <c r="H39" s="233" t="n">
        <f aca="false">H37-H38</f>
        <v>0</v>
      </c>
      <c r="I39" s="233" t="n">
        <f aca="false">I37-I38</f>
        <v>0</v>
      </c>
      <c r="J39" s="233" t="n">
        <f aca="false">J37-J38</f>
        <v>0</v>
      </c>
      <c r="K39" s="233" t="n">
        <f aca="false">K37-K38</f>
        <v>0</v>
      </c>
      <c r="L39" s="233" t="n">
        <f aca="false">L37-L38</f>
        <v>0</v>
      </c>
      <c r="M39" s="233" t="n">
        <f aca="false">M37-M38</f>
        <v>0</v>
      </c>
      <c r="N39" s="233" t="n">
        <f aca="false">N37-N38</f>
        <v>0</v>
      </c>
      <c r="O39" s="189" t="n">
        <f aca="false">SUM(C39:N39)</f>
        <v>0</v>
      </c>
      <c r="P39" s="190" t="n">
        <f aca="false">IF(O37=0,0,O39/O37)</f>
        <v>0</v>
      </c>
      <c r="Q39" s="186" t="n">
        <f aca="false">IF($O$55=0,0,O39/$O$55)</f>
        <v>0</v>
      </c>
      <c r="R39" s="226" t="n">
        <f aca="false">R37-R38</f>
        <v>0</v>
      </c>
      <c r="S39" s="226" t="n">
        <f aca="false">S37-S38</f>
        <v>0</v>
      </c>
      <c r="T39" s="226" t="n">
        <f aca="false">T37-T38</f>
        <v>0</v>
      </c>
      <c r="U39" s="226" t="n">
        <f aca="false">U37-U38</f>
        <v>0</v>
      </c>
      <c r="V39" s="226" t="n">
        <f aca="false">V37-V38</f>
        <v>0</v>
      </c>
      <c r="W39" s="226" t="n">
        <f aca="false">W37-W38</f>
        <v>0</v>
      </c>
      <c r="X39" s="226" t="n">
        <f aca="false">X37-X38</f>
        <v>0</v>
      </c>
      <c r="Y39" s="226" t="n">
        <f aca="false">Y37-Y38</f>
        <v>0</v>
      </c>
      <c r="Z39" s="226" t="n">
        <f aca="false">Z37-Z38</f>
        <v>0</v>
      </c>
      <c r="AA39" s="226" t="n">
        <f aca="false">AA37-AA38</f>
        <v>0</v>
      </c>
      <c r="AB39" s="226" t="n">
        <f aca="false">AB37-AB38</f>
        <v>0</v>
      </c>
      <c r="AC39" s="226" t="n">
        <f aca="false">AC37-AC38</f>
        <v>0</v>
      </c>
      <c r="AD39" s="189" t="n">
        <f aca="false">SUM(R39:AC39)</f>
        <v>0</v>
      </c>
      <c r="AE39" s="190" t="n">
        <f aca="false">IF(AD37=0,0,AD39/AD37)</f>
        <v>0</v>
      </c>
      <c r="AF39" s="186" t="n">
        <f aca="false">IF($O$55=0,0,AD39/$O$55)</f>
        <v>0</v>
      </c>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s="96" customFormat="true" ht="13.8" hidden="false" customHeight="false" outlineLevel="0" collapsed="false">
      <c r="A40" s="205"/>
      <c r="B40" s="230"/>
      <c r="C40" s="210"/>
      <c r="D40" s="210"/>
      <c r="E40" s="210"/>
      <c r="F40" s="210"/>
      <c r="G40" s="210"/>
      <c r="H40" s="210"/>
      <c r="I40" s="210"/>
      <c r="J40" s="210"/>
      <c r="K40" s="210"/>
      <c r="L40" s="210"/>
      <c r="M40" s="210"/>
      <c r="N40" s="210"/>
      <c r="O40" s="208"/>
      <c r="P40" s="113"/>
      <c r="Q40" s="196"/>
      <c r="R40" s="210"/>
      <c r="S40" s="210"/>
      <c r="T40" s="210"/>
      <c r="U40" s="210"/>
      <c r="V40" s="210"/>
      <c r="W40" s="210"/>
      <c r="X40" s="210"/>
      <c r="Y40" s="210"/>
      <c r="Z40" s="210"/>
      <c r="AA40" s="210"/>
      <c r="AB40" s="210"/>
      <c r="AC40" s="210"/>
      <c r="AD40" s="208"/>
      <c r="AE40" s="113"/>
      <c r="AF40" s="196"/>
    </row>
    <row r="41" s="95" customFormat="true" ht="13.8" hidden="false" customHeight="false" outlineLevel="0" collapsed="false">
      <c r="A41" s="180" t="str">
        <f aca="false">'3a-SalesForecastYear1'!B47</f>
        <v>Product 6</v>
      </c>
      <c r="B41" s="180"/>
      <c r="C41" s="211"/>
      <c r="D41" s="211"/>
      <c r="E41" s="211"/>
      <c r="F41" s="211"/>
      <c r="G41" s="211"/>
      <c r="H41" s="211"/>
      <c r="I41" s="211"/>
      <c r="J41" s="211"/>
      <c r="K41" s="211"/>
      <c r="L41" s="211"/>
      <c r="M41" s="211"/>
      <c r="N41" s="211"/>
      <c r="O41" s="182"/>
      <c r="P41" s="113"/>
      <c r="Q41" s="196"/>
      <c r="R41" s="211"/>
      <c r="S41" s="211"/>
      <c r="T41" s="211"/>
      <c r="U41" s="211"/>
      <c r="V41" s="211"/>
      <c r="W41" s="211"/>
      <c r="X41" s="211"/>
      <c r="Y41" s="211"/>
      <c r="Z41" s="211"/>
      <c r="AA41" s="211"/>
      <c r="AB41" s="211"/>
      <c r="AC41" s="211"/>
      <c r="AD41" s="182"/>
      <c r="AE41" s="113"/>
      <c r="AF41" s="196"/>
    </row>
    <row r="42" customFormat="false" ht="13.8" hidden="false" customHeight="false" outlineLevel="0" collapsed="false">
      <c r="A42" s="183" t="str">
        <f aca="false">Unit6&amp; " Sold"</f>
        <v> Sold</v>
      </c>
      <c r="B42" s="183" t="n">
        <f aca="false">Unit6_Annual</f>
        <v>0</v>
      </c>
      <c r="C42" s="231" t="n">
        <f aca="false">'3a-SalesForecastYear1'!C48+('3a-SalesForecastYear1'!C48*$C$7)</f>
        <v>0</v>
      </c>
      <c r="D42" s="231" t="n">
        <f aca="false">'3a-SalesForecastYear1'!D48+('3a-SalesForecastYear1'!D48*$C$7)</f>
        <v>0</v>
      </c>
      <c r="E42" s="231" t="n">
        <f aca="false">'3a-SalesForecastYear1'!E48+('3a-SalesForecastYear1'!E48*$C$7)</f>
        <v>0</v>
      </c>
      <c r="F42" s="231" t="n">
        <f aca="false">'3a-SalesForecastYear1'!F48+('3a-SalesForecastYear1'!F48*$C$7)</f>
        <v>0</v>
      </c>
      <c r="G42" s="231" t="n">
        <f aca="false">'3a-SalesForecastYear1'!G48+('3a-SalesForecastYear1'!G48*$C$7)</f>
        <v>0</v>
      </c>
      <c r="H42" s="231" t="n">
        <f aca="false">'3a-SalesForecastYear1'!H48+('3a-SalesForecastYear1'!H48*$C$7)</f>
        <v>0</v>
      </c>
      <c r="I42" s="231" t="n">
        <f aca="false">'3a-SalesForecastYear1'!I48+('3a-SalesForecastYear1'!I48*$C$7)</f>
        <v>0</v>
      </c>
      <c r="J42" s="231" t="n">
        <f aca="false">'3a-SalesForecastYear1'!J48+('3a-SalesForecastYear1'!J48*$C$7)</f>
        <v>0</v>
      </c>
      <c r="K42" s="231" t="n">
        <f aca="false">'3a-SalesForecastYear1'!K48+('3a-SalesForecastYear1'!K48*$C$7)</f>
        <v>0</v>
      </c>
      <c r="L42" s="231" t="n">
        <f aca="false">'3a-SalesForecastYear1'!L48+('3a-SalesForecastYear1'!L48*$C$7)</f>
        <v>0</v>
      </c>
      <c r="M42" s="231" t="n">
        <f aca="false">'3a-SalesForecastYear1'!M48+('3a-SalesForecastYear1'!M48*$C$7)</f>
        <v>0</v>
      </c>
      <c r="N42" s="231" t="n">
        <f aca="false">'3a-SalesForecastYear1'!N48+('3a-SalesForecastYear1'!N48*$C$7)</f>
        <v>0</v>
      </c>
      <c r="O42" s="185" t="n">
        <f aca="false">SUM(C42:N42)</f>
        <v>0</v>
      </c>
      <c r="P42" s="113"/>
      <c r="Q42" s="186" t="n">
        <f aca="false">IF($O$52=0,0,O42/$O$52)</f>
        <v>0</v>
      </c>
      <c r="R42" s="231" t="n">
        <f aca="false">C42+(C42*$C$8)</f>
        <v>0</v>
      </c>
      <c r="S42" s="231" t="n">
        <f aca="false">D42+(D42*$C$8)</f>
        <v>0</v>
      </c>
      <c r="T42" s="231" t="n">
        <f aca="false">E42+(E42*$C$8)</f>
        <v>0</v>
      </c>
      <c r="U42" s="231" t="n">
        <f aca="false">F42+(F42*$C$8)</f>
        <v>0</v>
      </c>
      <c r="V42" s="231" t="n">
        <f aca="false">G42+(G42*$C$8)</f>
        <v>0</v>
      </c>
      <c r="W42" s="231" t="n">
        <f aca="false">H42+(H42*$C$8)</f>
        <v>0</v>
      </c>
      <c r="X42" s="231" t="n">
        <f aca="false">I42+(I42*$C$8)</f>
        <v>0</v>
      </c>
      <c r="Y42" s="231" t="n">
        <f aca="false">J42+(J42*$C$8)</f>
        <v>0</v>
      </c>
      <c r="Z42" s="231" t="n">
        <f aca="false">K42+(K42*$C$8)</f>
        <v>0</v>
      </c>
      <c r="AA42" s="231" t="n">
        <f aca="false">L42+(L42*$C$8)</f>
        <v>0</v>
      </c>
      <c r="AB42" s="231" t="n">
        <f aca="false">M42+(M42*$C$8)</f>
        <v>0</v>
      </c>
      <c r="AC42" s="231" t="n">
        <f aca="false">N42+(N42*$C$8)</f>
        <v>0</v>
      </c>
      <c r="AD42" s="185" t="n">
        <f aca="false">SUM(R42:AC42)</f>
        <v>0</v>
      </c>
      <c r="AE42" s="113"/>
      <c r="AF42" s="186" t="n">
        <f aca="false">IF($O$52=0,0,AD42/$O$52)</f>
        <v>0</v>
      </c>
    </row>
    <row r="43" customFormat="false" ht="13.8" hidden="false" customHeight="false" outlineLevel="0" collapsed="false">
      <c r="A43" s="200" t="s">
        <v>102</v>
      </c>
      <c r="B43" s="229" t="n">
        <f aca="false">Category6_Annual_Sales</f>
        <v>0</v>
      </c>
      <c r="C43" s="226" t="n">
        <f aca="false">+C42*'3a-SalesForecastYear1'!$D$14</f>
        <v>0</v>
      </c>
      <c r="D43" s="226" t="n">
        <f aca="false">+D42*'3a-SalesForecastYear1'!$D$14</f>
        <v>0</v>
      </c>
      <c r="E43" s="226" t="n">
        <f aca="false">+E42*'3a-SalesForecastYear1'!$D$14</f>
        <v>0</v>
      </c>
      <c r="F43" s="226" t="n">
        <f aca="false">+F42*'3a-SalesForecastYear1'!$D$14</f>
        <v>0</v>
      </c>
      <c r="G43" s="226" t="n">
        <f aca="false">+G42*'3a-SalesForecastYear1'!$D$14</f>
        <v>0</v>
      </c>
      <c r="H43" s="226" t="n">
        <f aca="false">+H42*'3a-SalesForecastYear1'!$D$14</f>
        <v>0</v>
      </c>
      <c r="I43" s="226" t="n">
        <f aca="false">+I42*'3a-SalesForecastYear1'!$D$14</f>
        <v>0</v>
      </c>
      <c r="J43" s="226" t="n">
        <f aca="false">+J42*'3a-SalesForecastYear1'!$D$14</f>
        <v>0</v>
      </c>
      <c r="K43" s="226" t="n">
        <f aca="false">+K42*'3a-SalesForecastYear1'!$D$14</f>
        <v>0</v>
      </c>
      <c r="L43" s="226" t="n">
        <f aca="false">+L42*'3a-SalesForecastYear1'!$D$14</f>
        <v>0</v>
      </c>
      <c r="M43" s="226" t="n">
        <f aca="false">+M42*'3a-SalesForecastYear1'!$D$14</f>
        <v>0</v>
      </c>
      <c r="N43" s="226" t="n">
        <f aca="false">+N42*'3a-SalesForecastYear1'!$D$14</f>
        <v>0</v>
      </c>
      <c r="O43" s="189" t="n">
        <f aca="false">SUM(C43:N43)</f>
        <v>0</v>
      </c>
      <c r="P43" s="190" t="n">
        <f aca="false">(P44+P45)</f>
        <v>0</v>
      </c>
      <c r="Q43" s="186" t="n">
        <f aca="false">IF($O$53=0,0,O43/$O$53)</f>
        <v>0</v>
      </c>
      <c r="R43" s="226" t="n">
        <f aca="false">+R42*'3a-SalesForecastYear1'!$D$14</f>
        <v>0</v>
      </c>
      <c r="S43" s="226" t="n">
        <f aca="false">+S42*'3a-SalesForecastYear1'!$D$14</f>
        <v>0</v>
      </c>
      <c r="T43" s="226" t="n">
        <f aca="false">+T42*'3a-SalesForecastYear1'!$D$14</f>
        <v>0</v>
      </c>
      <c r="U43" s="226" t="n">
        <f aca="false">+U42*'3a-SalesForecastYear1'!$D$14</f>
        <v>0</v>
      </c>
      <c r="V43" s="226" t="n">
        <f aca="false">+V42*'3a-SalesForecastYear1'!$D$14</f>
        <v>0</v>
      </c>
      <c r="W43" s="226" t="n">
        <f aca="false">+W42*'3a-SalesForecastYear1'!$D$14</f>
        <v>0</v>
      </c>
      <c r="X43" s="226" t="n">
        <f aca="false">+X42*'3a-SalesForecastYear1'!$D$14</f>
        <v>0</v>
      </c>
      <c r="Y43" s="226" t="n">
        <f aca="false">+Y42*'3a-SalesForecastYear1'!$D$14</f>
        <v>0</v>
      </c>
      <c r="Z43" s="226" t="n">
        <f aca="false">+Z42*'3a-SalesForecastYear1'!$D$14</f>
        <v>0</v>
      </c>
      <c r="AA43" s="226" t="n">
        <f aca="false">+AA42*'3a-SalesForecastYear1'!$D$14</f>
        <v>0</v>
      </c>
      <c r="AB43" s="226" t="n">
        <f aca="false">+AB42*'3a-SalesForecastYear1'!$D$14</f>
        <v>0</v>
      </c>
      <c r="AC43" s="226" t="n">
        <f aca="false">+AC42*'3a-SalesForecastYear1'!$D$14</f>
        <v>0</v>
      </c>
      <c r="AD43" s="189" t="n">
        <f aca="false">SUM(R43:AC43)</f>
        <v>0</v>
      </c>
      <c r="AE43" s="190" t="n">
        <f aca="false">(AE44+AE45)</f>
        <v>0</v>
      </c>
      <c r="AF43" s="186" t="n">
        <f aca="false">IF($O$53=0,0,AD43/$O$53)</f>
        <v>0</v>
      </c>
    </row>
    <row r="44" customFormat="false" ht="13.8" hidden="false" customHeight="false" outlineLevel="0" collapsed="false">
      <c r="A44" s="213" t="s">
        <v>103</v>
      </c>
      <c r="B44" s="228" t="n">
        <f aca="false">'3a-SalesForecastYear1'!O50</f>
        <v>0</v>
      </c>
      <c r="C44" s="226" t="n">
        <f aca="false">+C42*'3a-SalesForecastYear1'!$E$14</f>
        <v>0</v>
      </c>
      <c r="D44" s="226" t="n">
        <f aca="false">+D42*'3a-SalesForecastYear1'!$E$14</f>
        <v>0</v>
      </c>
      <c r="E44" s="226" t="n">
        <f aca="false">+E42*'3a-SalesForecastYear1'!$E$14</f>
        <v>0</v>
      </c>
      <c r="F44" s="226" t="n">
        <f aca="false">+F42*'3a-SalesForecastYear1'!$E$14</f>
        <v>0</v>
      </c>
      <c r="G44" s="226" t="n">
        <f aca="false">+G42*'3a-SalesForecastYear1'!$E$14</f>
        <v>0</v>
      </c>
      <c r="H44" s="226" t="n">
        <f aca="false">+H42*'3a-SalesForecastYear1'!$E$14</f>
        <v>0</v>
      </c>
      <c r="I44" s="226" t="n">
        <f aca="false">+I42*'3a-SalesForecastYear1'!$E$14</f>
        <v>0</v>
      </c>
      <c r="J44" s="226" t="n">
        <f aca="false">+J42*'3a-SalesForecastYear1'!$E$14</f>
        <v>0</v>
      </c>
      <c r="K44" s="226" t="n">
        <f aca="false">+K42*'3a-SalesForecastYear1'!$E$14</f>
        <v>0</v>
      </c>
      <c r="L44" s="226" t="n">
        <f aca="false">+L42*'3a-SalesForecastYear1'!$E$14</f>
        <v>0</v>
      </c>
      <c r="M44" s="226" t="n">
        <f aca="false">+M42*'3a-SalesForecastYear1'!$E$14</f>
        <v>0</v>
      </c>
      <c r="N44" s="226" t="n">
        <f aca="false">+N42*'3a-SalesForecastYear1'!$E$14</f>
        <v>0</v>
      </c>
      <c r="O44" s="189" t="n">
        <f aca="false">SUM(C44:N44)</f>
        <v>0</v>
      </c>
      <c r="P44" s="190" t="n">
        <f aca="false">IF(O43=0,0,O44/O43)</f>
        <v>0</v>
      </c>
      <c r="Q44" s="186" t="n">
        <f aca="false">IF($O$54=0,0,O44/$O$54)</f>
        <v>0</v>
      </c>
      <c r="R44" s="226" t="n">
        <f aca="false">+R42*'3a-SalesForecastYear1'!$E$14</f>
        <v>0</v>
      </c>
      <c r="S44" s="226" t="n">
        <f aca="false">+S42*'3a-SalesForecastYear1'!$E$14</f>
        <v>0</v>
      </c>
      <c r="T44" s="226" t="n">
        <f aca="false">+T42*'3a-SalesForecastYear1'!$E$14</f>
        <v>0</v>
      </c>
      <c r="U44" s="226" t="n">
        <f aca="false">+U42*'3a-SalesForecastYear1'!$E$14</f>
        <v>0</v>
      </c>
      <c r="V44" s="226" t="n">
        <f aca="false">+V42*'3a-SalesForecastYear1'!$E$14</f>
        <v>0</v>
      </c>
      <c r="W44" s="226" t="n">
        <f aca="false">+W42*'3a-SalesForecastYear1'!$E$14</f>
        <v>0</v>
      </c>
      <c r="X44" s="226" t="n">
        <f aca="false">+X42*'3a-SalesForecastYear1'!$E$14</f>
        <v>0</v>
      </c>
      <c r="Y44" s="226" t="n">
        <f aca="false">+Y42*'3a-SalesForecastYear1'!$E$14</f>
        <v>0</v>
      </c>
      <c r="Z44" s="226" t="n">
        <f aca="false">+Z42*'3a-SalesForecastYear1'!$E$14</f>
        <v>0</v>
      </c>
      <c r="AA44" s="226" t="n">
        <f aca="false">+AA42*'3a-SalesForecastYear1'!$E$14</f>
        <v>0</v>
      </c>
      <c r="AB44" s="226" t="n">
        <f aca="false">+AB42*'3a-SalesForecastYear1'!$E$14</f>
        <v>0</v>
      </c>
      <c r="AC44" s="226" t="n">
        <f aca="false">+AC42*'3a-SalesForecastYear1'!$E$14</f>
        <v>0</v>
      </c>
      <c r="AD44" s="189" t="n">
        <f aca="false">SUM(R44:AC44)</f>
        <v>0</v>
      </c>
      <c r="AE44" s="190" t="n">
        <f aca="false">IF(AD43=0,0,AD44/AD43)</f>
        <v>0</v>
      </c>
      <c r="AF44" s="186" t="n">
        <f aca="false">IF($O$54=0,0,AD44/$O$54)</f>
        <v>0</v>
      </c>
    </row>
    <row r="45" customFormat="false" ht="13.8" hidden="false" customHeight="false" outlineLevel="0" collapsed="false">
      <c r="A45" s="187" t="s">
        <v>105</v>
      </c>
      <c r="B45" s="234" t="n">
        <f aca="false">'3a-SalesForecastYear1'!O51</f>
        <v>0</v>
      </c>
      <c r="C45" s="226" t="n">
        <f aca="false">C43-C44</f>
        <v>0</v>
      </c>
      <c r="D45" s="226" t="n">
        <f aca="false">D43-D44</f>
        <v>0</v>
      </c>
      <c r="E45" s="226" t="n">
        <f aca="false">E43-E44</f>
        <v>0</v>
      </c>
      <c r="F45" s="226" t="n">
        <f aca="false">F43-F44</f>
        <v>0</v>
      </c>
      <c r="G45" s="226" t="n">
        <f aca="false">G43-G44</f>
        <v>0</v>
      </c>
      <c r="H45" s="226" t="n">
        <f aca="false">H43-H44</f>
        <v>0</v>
      </c>
      <c r="I45" s="226" t="n">
        <f aca="false">I43-I44</f>
        <v>0</v>
      </c>
      <c r="J45" s="226" t="n">
        <f aca="false">J43-J44</f>
        <v>0</v>
      </c>
      <c r="K45" s="226" t="n">
        <f aca="false">K43-K44</f>
        <v>0</v>
      </c>
      <c r="L45" s="226" t="n">
        <f aca="false">L43-L44</f>
        <v>0</v>
      </c>
      <c r="M45" s="226" t="n">
        <f aca="false">M43-M44</f>
        <v>0</v>
      </c>
      <c r="N45" s="226" t="n">
        <f aca="false">N43-N44</f>
        <v>0</v>
      </c>
      <c r="O45" s="189" t="n">
        <f aca="false">SUM(C45:N45)</f>
        <v>0</v>
      </c>
      <c r="P45" s="190" t="n">
        <f aca="false">IF(O43=0,0,O45/O43)</f>
        <v>0</v>
      </c>
      <c r="Q45" s="186" t="n">
        <f aca="false">IF($O$55=0,0,O45/$O$55)</f>
        <v>0</v>
      </c>
      <c r="R45" s="226" t="n">
        <f aca="false">R43-R44</f>
        <v>0</v>
      </c>
      <c r="S45" s="226" t="n">
        <f aca="false">S43-S44</f>
        <v>0</v>
      </c>
      <c r="T45" s="226" t="n">
        <f aca="false">T43-T44</f>
        <v>0</v>
      </c>
      <c r="U45" s="226" t="n">
        <f aca="false">U43-U44</f>
        <v>0</v>
      </c>
      <c r="V45" s="226" t="n">
        <f aca="false">V43-V44</f>
        <v>0</v>
      </c>
      <c r="W45" s="226" t="n">
        <f aca="false">W43-W44</f>
        <v>0</v>
      </c>
      <c r="X45" s="226" t="n">
        <f aca="false">X43-X44</f>
        <v>0</v>
      </c>
      <c r="Y45" s="226" t="n">
        <f aca="false">Y43-Y44</f>
        <v>0</v>
      </c>
      <c r="Z45" s="226" t="n">
        <f aca="false">Z43-Z44</f>
        <v>0</v>
      </c>
      <c r="AA45" s="226" t="n">
        <f aca="false">AA43-AA44</f>
        <v>0</v>
      </c>
      <c r="AB45" s="226" t="n">
        <f aca="false">AB43-AB44</f>
        <v>0</v>
      </c>
      <c r="AC45" s="226" t="n">
        <f aca="false">AC43-AC44</f>
        <v>0</v>
      </c>
      <c r="AD45" s="189" t="n">
        <f aca="false">SUM(R45:AC45)</f>
        <v>0</v>
      </c>
      <c r="AE45" s="190" t="n">
        <f aca="false">IF(AD43=0,0,AD45/AD43)</f>
        <v>0</v>
      </c>
      <c r="AF45" s="186" t="n">
        <f aca="false">IF($O$55=0,0,AD45/$O$55)</f>
        <v>0</v>
      </c>
    </row>
    <row r="46" customFormat="false" ht="13.8" hidden="false" customHeight="false" outlineLevel="0" collapsed="false">
      <c r="A46" s="214" t="s">
        <v>106</v>
      </c>
      <c r="B46" s="214" t="n">
        <f aca="false">Units_Annual_Total</f>
        <v>0</v>
      </c>
      <c r="C46" s="215" t="n">
        <f aca="false">C12+C18+C24+C30+C36+C42</f>
        <v>0</v>
      </c>
      <c r="D46" s="215" t="n">
        <f aca="false">D12+D18+D24+D30+D36+D42</f>
        <v>0</v>
      </c>
      <c r="E46" s="215" t="n">
        <f aca="false">E12+E18+E24+E30+E36+E42</f>
        <v>0</v>
      </c>
      <c r="F46" s="215" t="n">
        <f aca="false">F12+F18+F24+F30+F36+F42</f>
        <v>0</v>
      </c>
      <c r="G46" s="215" t="n">
        <f aca="false">G12+G18+G24+G30+G36+G42</f>
        <v>0</v>
      </c>
      <c r="H46" s="215" t="n">
        <f aca="false">H12+H18+H24+H30+H36+H42</f>
        <v>0</v>
      </c>
      <c r="I46" s="215" t="n">
        <f aca="false">I12+I18+I24+I30+I36+I42</f>
        <v>0</v>
      </c>
      <c r="J46" s="215" t="n">
        <f aca="false">J12+J18+J24+J30+J36+J42</f>
        <v>0</v>
      </c>
      <c r="K46" s="215" t="n">
        <f aca="false">K12+K18+K24+K30+K36+K42</f>
        <v>0</v>
      </c>
      <c r="L46" s="215" t="n">
        <f aca="false">L12+L18+L24+L30+L36+L42</f>
        <v>0</v>
      </c>
      <c r="M46" s="215" t="n">
        <f aca="false">M12+M18+M24+M30+M36+M42</f>
        <v>0</v>
      </c>
      <c r="N46" s="215" t="n">
        <f aca="false">N12+N18+N24+N30+N36+N42</f>
        <v>0</v>
      </c>
      <c r="O46" s="185" t="n">
        <f aca="false">SUM(C46:N46)</f>
        <v>0</v>
      </c>
      <c r="P46" s="113"/>
      <c r="Q46" s="196"/>
      <c r="R46" s="215" t="n">
        <f aca="false">R12+R18+R24+R30+R36+R42</f>
        <v>0</v>
      </c>
      <c r="S46" s="215" t="n">
        <f aca="false">S12+S18+S24+S30+S36+S42</f>
        <v>0</v>
      </c>
      <c r="T46" s="215" t="n">
        <f aca="false">T12+T18+T24+T30+T36+T42</f>
        <v>0</v>
      </c>
      <c r="U46" s="215" t="n">
        <f aca="false">U12+U18+U24+U30+U36+U42</f>
        <v>0</v>
      </c>
      <c r="V46" s="215" t="n">
        <f aca="false">V12+V18+V24+V30+V36+V42</f>
        <v>0</v>
      </c>
      <c r="W46" s="215" t="n">
        <f aca="false">W12+W18+W24+W30+W36+W42</f>
        <v>0</v>
      </c>
      <c r="X46" s="215" t="n">
        <f aca="false">X12+X18+X24+X30+X36+X42</f>
        <v>0</v>
      </c>
      <c r="Y46" s="215" t="n">
        <f aca="false">Y12+Y18+Y24+Y30+Y36+Y42</f>
        <v>0</v>
      </c>
      <c r="Z46" s="215" t="n">
        <f aca="false">Z12+Z18+Z24+Z30+Z36+Z42</f>
        <v>0</v>
      </c>
      <c r="AA46" s="215" t="n">
        <f aca="false">AA12+AA18+AA24+AA30+AA36+AA42</f>
        <v>0</v>
      </c>
      <c r="AB46" s="215" t="n">
        <f aca="false">AB12+AB18+AB24+AB30+AB36+AB42</f>
        <v>0</v>
      </c>
      <c r="AC46" s="215" t="n">
        <f aca="false">AC12+AC18+AC24+AC30+AC36+AC42</f>
        <v>0</v>
      </c>
      <c r="AD46" s="185" t="n">
        <f aca="false">SUM(R46:AC46)</f>
        <v>0</v>
      </c>
      <c r="AE46" s="113"/>
      <c r="AF46" s="196"/>
    </row>
    <row r="47" customFormat="false" ht="13.8" hidden="false" customHeight="false" outlineLevel="0" collapsed="false">
      <c r="A47" s="214" t="s">
        <v>102</v>
      </c>
      <c r="B47" s="235" t="n">
        <f aca="false">Sales_Annual_Total</f>
        <v>0</v>
      </c>
      <c r="C47" s="216" t="n">
        <f aca="false">C13+C19+C25+C31+C37+C43</f>
        <v>0</v>
      </c>
      <c r="D47" s="216" t="n">
        <f aca="false">D13+D19+D25+D31+D37+D43</f>
        <v>0</v>
      </c>
      <c r="E47" s="216" t="n">
        <f aca="false">E13+E19+E25+E31+E37+E43</f>
        <v>0</v>
      </c>
      <c r="F47" s="216" t="n">
        <f aca="false">F13+F19+F25+F31+F37+F43</f>
        <v>0</v>
      </c>
      <c r="G47" s="216" t="n">
        <f aca="false">G13+G19+G25+G31+G37+G43</f>
        <v>0</v>
      </c>
      <c r="H47" s="216" t="n">
        <f aca="false">H13+H19+H25+H31+H37+H43</f>
        <v>0</v>
      </c>
      <c r="I47" s="216" t="n">
        <f aca="false">I13+I19+I25+I31+I37+I43</f>
        <v>0</v>
      </c>
      <c r="J47" s="216" t="n">
        <f aca="false">J13+J19+J25+J31+J37+J43</f>
        <v>0</v>
      </c>
      <c r="K47" s="216" t="n">
        <f aca="false">K13+K19+K25+K31+K37+K43</f>
        <v>0</v>
      </c>
      <c r="L47" s="216" t="n">
        <f aca="false">L13+L19+L25+L31+L37+L43</f>
        <v>0</v>
      </c>
      <c r="M47" s="216" t="n">
        <f aca="false">M13+M19+M25+M31+M37+M43</f>
        <v>0</v>
      </c>
      <c r="N47" s="216" t="n">
        <f aca="false">N13+N19+N25+N31+N37+N43</f>
        <v>0</v>
      </c>
      <c r="O47" s="189" t="n">
        <f aca="false">SUM(C47:N47)</f>
        <v>0</v>
      </c>
      <c r="P47" s="113"/>
      <c r="Q47" s="196"/>
      <c r="R47" s="216" t="n">
        <f aca="false">R13+R19+R25+R31+R37+R43</f>
        <v>0</v>
      </c>
      <c r="S47" s="216" t="n">
        <f aca="false">S13+S19+S25+S31+S37+S43</f>
        <v>0</v>
      </c>
      <c r="T47" s="216" t="n">
        <f aca="false">T13+T19+T25+T31+T37+T43</f>
        <v>0</v>
      </c>
      <c r="U47" s="216" t="n">
        <f aca="false">U13+U19+U25+U31+U37+U43</f>
        <v>0</v>
      </c>
      <c r="V47" s="216" t="n">
        <f aca="false">V13+V19+V25+V31+V37+V43</f>
        <v>0</v>
      </c>
      <c r="W47" s="216" t="n">
        <f aca="false">W13+W19+W25+W31+W37+W43</f>
        <v>0</v>
      </c>
      <c r="X47" s="216" t="n">
        <f aca="false">X13+X19+X25+X31+X37+X43</f>
        <v>0</v>
      </c>
      <c r="Y47" s="216" t="n">
        <f aca="false">Y13+Y19+Y25+Y31+Y37+Y43</f>
        <v>0</v>
      </c>
      <c r="Z47" s="216" t="n">
        <f aca="false">Z13+Z19+Z25+Z31+Z37+Z43</f>
        <v>0</v>
      </c>
      <c r="AA47" s="216" t="n">
        <f aca="false">AA13+AA19+AA25+AA31+AA37+AA43</f>
        <v>0</v>
      </c>
      <c r="AB47" s="216" t="n">
        <f aca="false">AB13+AB19+AB25+AB31+AB37+AB43</f>
        <v>0</v>
      </c>
      <c r="AC47" s="216" t="n">
        <f aca="false">AC13+AC19+AC25+AC31+AC37+AC43</f>
        <v>0</v>
      </c>
      <c r="AD47" s="189" t="n">
        <f aca="false">SUM(R47:AC47)</f>
        <v>0</v>
      </c>
      <c r="AE47" s="113"/>
      <c r="AF47" s="196"/>
    </row>
    <row r="48" customFormat="false" ht="13.8" hidden="false" customHeight="false" outlineLevel="0" collapsed="false">
      <c r="A48" s="217" t="s">
        <v>107</v>
      </c>
      <c r="B48" s="236" t="n">
        <f aca="false">COGS_Annual_Total</f>
        <v>0</v>
      </c>
      <c r="C48" s="218" t="n">
        <f aca="false">C14+C20+C26+C32+C38+C44</f>
        <v>0</v>
      </c>
      <c r="D48" s="218" t="n">
        <f aca="false">D14+D20+D26+D32+D38+D44</f>
        <v>0</v>
      </c>
      <c r="E48" s="218" t="n">
        <f aca="false">E14+E20+E26+E32+E38+E44</f>
        <v>0</v>
      </c>
      <c r="F48" s="218" t="n">
        <f aca="false">F14+F20+F26+F32+F38+F44</f>
        <v>0</v>
      </c>
      <c r="G48" s="218" t="n">
        <f aca="false">G14+G20+G26+G32+G38+G44</f>
        <v>0</v>
      </c>
      <c r="H48" s="218" t="n">
        <f aca="false">H14+H20+H26+H32+H38+H44</f>
        <v>0</v>
      </c>
      <c r="I48" s="218" t="n">
        <f aca="false">I14+I20+I26+I32+I38+I44</f>
        <v>0</v>
      </c>
      <c r="J48" s="218" t="n">
        <f aca="false">J14+J20+J26+J32+J38+J44</f>
        <v>0</v>
      </c>
      <c r="K48" s="218" t="n">
        <f aca="false">K14+K20+K26+K32+K38+K44</f>
        <v>0</v>
      </c>
      <c r="L48" s="218" t="n">
        <f aca="false">L14+L20+L26+L32+L38+L44</f>
        <v>0</v>
      </c>
      <c r="M48" s="218" t="n">
        <f aca="false">M14+M20+M26+M32+M38+M44</f>
        <v>0</v>
      </c>
      <c r="N48" s="218" t="n">
        <f aca="false">N14+N20+N26+N32+N38+N44</f>
        <v>0</v>
      </c>
      <c r="O48" s="189" t="n">
        <f aca="false">SUM(C48:N48)</f>
        <v>0</v>
      </c>
      <c r="P48" s="113"/>
      <c r="Q48" s="196"/>
      <c r="R48" s="218" t="n">
        <f aca="false">R14+R20+R26+R32+R38+R44</f>
        <v>0</v>
      </c>
      <c r="S48" s="218" t="n">
        <f aca="false">S14+S20+S26+S32+S38+S44</f>
        <v>0</v>
      </c>
      <c r="T48" s="218" t="n">
        <f aca="false">T14+T20+T26+T32+T38+T44</f>
        <v>0</v>
      </c>
      <c r="U48" s="218" t="n">
        <f aca="false">U14+U20+U26+U32+U38+U44</f>
        <v>0</v>
      </c>
      <c r="V48" s="218" t="n">
        <f aca="false">V14+V20+V26+V32+V38+V44</f>
        <v>0</v>
      </c>
      <c r="W48" s="218" t="n">
        <f aca="false">W14+W20+W26+W32+W38+W44</f>
        <v>0</v>
      </c>
      <c r="X48" s="218" t="n">
        <f aca="false">X14+X20+X26+X32+X38+X44</f>
        <v>0</v>
      </c>
      <c r="Y48" s="218" t="n">
        <f aca="false">Y14+Y20+Y26+Y32+Y38+Y44</f>
        <v>0</v>
      </c>
      <c r="Z48" s="218" t="n">
        <f aca="false">Z14+Z20+Z26+Z32+Z38+Z44</f>
        <v>0</v>
      </c>
      <c r="AA48" s="218" t="n">
        <f aca="false">AA14+AA20+AA26+AA32+AA38+AA44</f>
        <v>0</v>
      </c>
      <c r="AB48" s="218" t="n">
        <f aca="false">AB14+AB20+AB26+AB32+AB38+AB44</f>
        <v>0</v>
      </c>
      <c r="AC48" s="218" t="n">
        <f aca="false">AC14+AC20+AC26+AC32+AC38+AC44</f>
        <v>0</v>
      </c>
      <c r="AD48" s="189" t="n">
        <f aca="false">SUM(R48:AC48)</f>
        <v>0</v>
      </c>
      <c r="AE48" s="113"/>
      <c r="AF48" s="196"/>
    </row>
    <row r="49" customFormat="false" ht="13.8" hidden="false" customHeight="false" outlineLevel="0" collapsed="false">
      <c r="A49" s="217" t="s">
        <v>104</v>
      </c>
      <c r="B49" s="236" t="n">
        <f aca="false">Margin_Annual_Total</f>
        <v>0</v>
      </c>
      <c r="C49" s="219" t="n">
        <f aca="false">C47-C48</f>
        <v>0</v>
      </c>
      <c r="D49" s="219" t="n">
        <f aca="false">D47-D48</f>
        <v>0</v>
      </c>
      <c r="E49" s="219" t="n">
        <f aca="false">E47-E48</f>
        <v>0</v>
      </c>
      <c r="F49" s="219" t="n">
        <f aca="false">F47-F48</f>
        <v>0</v>
      </c>
      <c r="G49" s="219" t="n">
        <f aca="false">G47-G48</f>
        <v>0</v>
      </c>
      <c r="H49" s="219" t="n">
        <f aca="false">H47-H48</f>
        <v>0</v>
      </c>
      <c r="I49" s="219" t="n">
        <f aca="false">I47-I48</f>
        <v>0</v>
      </c>
      <c r="J49" s="219" t="n">
        <f aca="false">J47-J48</f>
        <v>0</v>
      </c>
      <c r="K49" s="219" t="n">
        <f aca="false">K47-K48</f>
        <v>0</v>
      </c>
      <c r="L49" s="219" t="n">
        <f aca="false">L47-L48</f>
        <v>0</v>
      </c>
      <c r="M49" s="219" t="n">
        <f aca="false">M47-M48</f>
        <v>0</v>
      </c>
      <c r="N49" s="219" t="n">
        <f aca="false">N47-N48</f>
        <v>0</v>
      </c>
      <c r="O49" s="201" t="n">
        <f aca="false">O15+O21+O27+O33+O39+O45</f>
        <v>0</v>
      </c>
      <c r="P49" s="113"/>
      <c r="Q49" s="196"/>
      <c r="R49" s="219" t="n">
        <f aca="false">R47-R48</f>
        <v>0</v>
      </c>
      <c r="S49" s="219" t="n">
        <f aca="false">S47-S48</f>
        <v>0</v>
      </c>
      <c r="T49" s="219" t="n">
        <f aca="false">T47-T48</f>
        <v>0</v>
      </c>
      <c r="U49" s="219" t="n">
        <f aca="false">U47-U48</f>
        <v>0</v>
      </c>
      <c r="V49" s="219" t="n">
        <f aca="false">V47-V48</f>
        <v>0</v>
      </c>
      <c r="W49" s="219" t="n">
        <f aca="false">W47-W48</f>
        <v>0</v>
      </c>
      <c r="X49" s="219" t="n">
        <f aca="false">X47-X48</f>
        <v>0</v>
      </c>
      <c r="Y49" s="219" t="n">
        <f aca="false">Y47-Y48</f>
        <v>0</v>
      </c>
      <c r="Z49" s="219" t="n">
        <f aca="false">Z47-Z48</f>
        <v>0</v>
      </c>
      <c r="AA49" s="219" t="n">
        <f aca="false">AA47-AA48</f>
        <v>0</v>
      </c>
      <c r="AB49" s="219" t="n">
        <f aca="false">AB47-AB48</f>
        <v>0</v>
      </c>
      <c r="AC49" s="219" t="n">
        <f aca="false">AC47-AC48</f>
        <v>0</v>
      </c>
      <c r="AD49" s="201" t="n">
        <f aca="false">AD15+AD21+AD27+AD33+AD39+AD45</f>
        <v>0</v>
      </c>
      <c r="AE49" s="113"/>
      <c r="AF49" s="196"/>
    </row>
  </sheetData>
  <sheetProtection sheet="true" objects="true" scenarios="true" formatColumns="false"/>
  <mergeCells count="1">
    <mergeCell ref="C5:D5"/>
  </mergeCells>
  <conditionalFormatting sqref="C12:N15">
    <cfRule type="expression" priority="2" aboveAverage="0" equalAverage="0" bottom="0" percent="0" rank="0" text="" dxfId="0">
      <formula>LEN(TRIM(C12))=0</formula>
    </cfRule>
  </conditionalFormatting>
  <conditionalFormatting sqref="C18:N18,C21:N21">
    <cfRule type="expression" priority="3" aboveAverage="0" equalAverage="0" bottom="0" percent="0" rank="0" text="" dxfId="1">
      <formula>LEN(TRIM(C18))=0</formula>
    </cfRule>
  </conditionalFormatting>
  <conditionalFormatting sqref="C42:N42,C24:N24,C30:N30,C36:N36,C27:N27,C33:N33,C39:N39">
    <cfRule type="expression" priority="4" aboveAverage="0" equalAverage="0" bottom="0" percent="0" rank="0" text="" dxfId="2">
      <formula>LEN(TRIM(C42))=0</formula>
    </cfRule>
  </conditionalFormatting>
  <conditionalFormatting sqref="R12:AC12">
    <cfRule type="expression" priority="5" aboveAverage="0" equalAverage="0" bottom="0" percent="0" rank="0" text="" dxfId="3">
      <formula>LEN(TRIM(R12))=0</formula>
    </cfRule>
  </conditionalFormatting>
  <conditionalFormatting sqref="R18:AC18">
    <cfRule type="expression" priority="6" aboveAverage="0" equalAverage="0" bottom="0" percent="0" rank="0" text="" dxfId="4">
      <formula>LEN(TRIM(R18))=0</formula>
    </cfRule>
  </conditionalFormatting>
  <conditionalFormatting sqref="R24:AC24,R30:AC30,R36:AC36,R42:AC42">
    <cfRule type="expression" priority="7" aboveAverage="0" equalAverage="0" bottom="0" percent="0" rank="0" text="" dxfId="5">
      <formula>LEN(TRIM(R24))=0</formula>
    </cfRule>
  </conditionalFormatting>
  <conditionalFormatting sqref="R13:AC14">
    <cfRule type="expression" priority="8" aboveAverage="0" equalAverage="0" bottom="0" percent="0" rank="0" text="" dxfId="6">
      <formula>LEN(TRIM(R13))=0</formula>
    </cfRule>
  </conditionalFormatting>
  <conditionalFormatting sqref="C19:C20">
    <cfRule type="expression" priority="9" aboveAverage="0" equalAverage="0" bottom="0" percent="0" rank="0" text="" dxfId="7">
      <formula>LEN(TRIM(C19))=0</formula>
    </cfRule>
  </conditionalFormatting>
  <conditionalFormatting sqref="C25:C26">
    <cfRule type="expression" priority="10" aboveAverage="0" equalAverage="0" bottom="0" percent="0" rank="0" text="" dxfId="8">
      <formula>LEN(TRIM(C25))=0</formula>
    </cfRule>
  </conditionalFormatting>
  <conditionalFormatting sqref="C31:C32">
    <cfRule type="expression" priority="11" aboveAverage="0" equalAverage="0" bottom="0" percent="0" rank="0" text="" dxfId="9">
      <formula>LEN(TRIM(C31))=0</formula>
    </cfRule>
  </conditionalFormatting>
  <conditionalFormatting sqref="C37:C38">
    <cfRule type="expression" priority="12" aboveAverage="0" equalAverage="0" bottom="0" percent="0" rank="0" text="" dxfId="10">
      <formula>LEN(TRIM(C37))=0</formula>
    </cfRule>
  </conditionalFormatting>
  <conditionalFormatting sqref="C43:C44">
    <cfRule type="expression" priority="13" aboveAverage="0" equalAverage="0" bottom="0" percent="0" rank="0" text="" dxfId="11">
      <formula>LEN(TRIM(C43))=0</formula>
    </cfRule>
  </conditionalFormatting>
  <conditionalFormatting sqref="D19:N20">
    <cfRule type="expression" priority="14" aboveAverage="0" equalAverage="0" bottom="0" percent="0" rank="0" text="" dxfId="12">
      <formula>LEN(TRIM(D19))=0</formula>
    </cfRule>
  </conditionalFormatting>
  <conditionalFormatting sqref="R19:AC20">
    <cfRule type="expression" priority="15" aboveAverage="0" equalAverage="0" bottom="0" percent="0" rank="0" text="" dxfId="13">
      <formula>LEN(TRIM(R19))=0</formula>
    </cfRule>
  </conditionalFormatting>
  <conditionalFormatting sqref="D25:N26">
    <cfRule type="expression" priority="16" aboveAverage="0" equalAverage="0" bottom="0" percent="0" rank="0" text="" dxfId="14">
      <formula>LEN(TRIM(D25))=0</formula>
    </cfRule>
  </conditionalFormatting>
  <conditionalFormatting sqref="R25:AC26">
    <cfRule type="expression" priority="17" aboveAverage="0" equalAverage="0" bottom="0" percent="0" rank="0" text="" dxfId="15">
      <formula>LEN(TRIM(R25))=0</formula>
    </cfRule>
  </conditionalFormatting>
  <conditionalFormatting sqref="D31:N32">
    <cfRule type="expression" priority="18" aboveAverage="0" equalAverage="0" bottom="0" percent="0" rank="0" text="" dxfId="16">
      <formula>LEN(TRIM(D31))=0</formula>
    </cfRule>
  </conditionalFormatting>
  <conditionalFormatting sqref="R31:AC32">
    <cfRule type="expression" priority="19" aboveAverage="0" equalAverage="0" bottom="0" percent="0" rank="0" text="" dxfId="17">
      <formula>LEN(TRIM(R31))=0</formula>
    </cfRule>
  </conditionalFormatting>
  <conditionalFormatting sqref="D37:N38">
    <cfRule type="expression" priority="20" aboveAverage="0" equalAverage="0" bottom="0" percent="0" rank="0" text="" dxfId="18">
      <formula>LEN(TRIM(D37))=0</formula>
    </cfRule>
  </conditionalFormatting>
  <conditionalFormatting sqref="R37:AC38">
    <cfRule type="expression" priority="21" aboveAverage="0" equalAverage="0" bottom="0" percent="0" rank="0" text="" dxfId="19">
      <formula>LEN(TRIM(R37))=0</formula>
    </cfRule>
  </conditionalFormatting>
  <conditionalFormatting sqref="D43:N44">
    <cfRule type="expression" priority="22" aboveAverage="0" equalAverage="0" bottom="0" percent="0" rank="0" text="" dxfId="20">
      <formula>LEN(TRIM(D43))=0</formula>
    </cfRule>
  </conditionalFormatting>
  <conditionalFormatting sqref="R43:AC44">
    <cfRule type="expression" priority="23" aboveAverage="0" equalAverage="0" bottom="0" percent="0" rank="0" text="" dxfId="21">
      <formula>LEN(TRIM(R43))=0</formula>
    </cfRule>
  </conditionalFormatting>
  <printOptions headings="false" gridLines="false" gridLinesSet="true" horizontalCentered="true" verticalCentered="false"/>
  <pageMargins left="0.7" right="0.7" top="0.75" bottom="0.75" header="0.3" footer="0.3"/>
  <pageSetup paperSize="1" scale="100" firstPageNumber="0" fitToWidth="2"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MT,Regular"&amp;12Sales Forecast Years 1-3</oddHeader>
    <oddFooter>&amp;L&amp;"Gill Sans MT,Regular"&amp;12&amp;F&amp;C&amp;"Gill Sans MT,Regular"&amp;12&amp;A&amp;R&amp;"Gill Sans MT,Regular"&amp;12&amp;D &amp;T</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true"/>
  </sheetPr>
  <dimension ref="1:44"/>
  <sheetViews>
    <sheetView windowProtection="false"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H20" activeCellId="0" sqref="H20"/>
    </sheetView>
  </sheetViews>
  <sheetFormatPr defaultRowHeight="13.8"/>
  <cols>
    <col collapsed="false" hidden="false" max="1" min="1" style="95" width="6.66396761133603"/>
    <col collapsed="false" hidden="false" max="2" min="2" style="93" width="30.8866396761134"/>
    <col collapsed="false" hidden="false" max="3" min="3" style="93" width="17.4372469635628"/>
    <col collapsed="false" hidden="false" max="4" min="4" style="93" width="13.4412955465587"/>
    <col collapsed="false" hidden="false" max="5" min="5" style="93" width="9.66396761133603"/>
    <col collapsed="false" hidden="false" max="6" min="6" style="95" width="9.66396761133603"/>
    <col collapsed="false" hidden="false" max="11" min="7" style="93" width="9.66396761133603"/>
    <col collapsed="false" hidden="false" max="12" min="12" style="93" width="11.8906882591093"/>
    <col collapsed="false" hidden="false" max="13" min="13" style="93" width="9.66396761133603"/>
    <col collapsed="false" hidden="false" max="15" min="14" style="93" width="11.1133603238866"/>
    <col collapsed="false" hidden="false" max="16" min="16" style="93" width="15.6599190283401"/>
    <col collapsed="false" hidden="false" max="18" min="17" style="93" width="9.33198380566802"/>
    <col collapsed="false" hidden="false" max="1025" min="19" style="93" width="8.88259109311741"/>
  </cols>
  <sheetData>
    <row r="1" customFormat="false" ht="13.8" hidden="false" customHeight="false" outlineLevel="0" collapsed="false">
      <c r="A1" s="0"/>
      <c r="B1" s="95"/>
      <c r="C1" s="95"/>
      <c r="D1" s="95"/>
      <c r="E1" s="95"/>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0"/>
      <c r="B2" s="237" t="s">
        <v>114</v>
      </c>
      <c r="C2" s="238"/>
      <c r="D2" s="95"/>
      <c r="E2" s="239"/>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3.8" hidden="false" customHeight="false" outlineLevel="0" collapsed="false">
      <c r="A3" s="0"/>
      <c r="B3" s="238"/>
      <c r="C3" s="238"/>
      <c r="D3" s="95"/>
      <c r="E3" s="95"/>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3.8" hidden="false" customHeight="false" outlineLevel="0" collapsed="false">
      <c r="A4" s="0"/>
      <c r="B4" s="240" t="s">
        <v>8</v>
      </c>
      <c r="C4" s="240" t="s">
        <v>9</v>
      </c>
      <c r="D4" s="95"/>
      <c r="E4" s="95"/>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3.8" hidden="false" customHeight="false" outlineLevel="0" collapsed="false">
      <c r="A5" s="0"/>
      <c r="B5" s="241" t="str">
        <f aca="false">IF(ISBLANK(Directions!C6), "Owner", Directions!C6)</f>
        <v>Owner</v>
      </c>
      <c r="C5" s="241" t="str">
        <f aca="false">IF(ISBLANK(Directions!D6), "Company 1", Directions!D6)</f>
        <v>Company 1</v>
      </c>
      <c r="D5" s="95"/>
      <c r="E5" s="95"/>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3.8" hidden="false" customHeight="false" outlineLevel="0" collapsed="false">
      <c r="A6" s="0"/>
      <c r="B6" s="242"/>
      <c r="C6" s="95"/>
      <c r="D6" s="95"/>
      <c r="E6" s="95"/>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4.4" hidden="false" customHeight="true" outlineLevel="0" collapsed="false">
      <c r="A7" s="0"/>
      <c r="B7" s="104" t="s">
        <v>115</v>
      </c>
      <c r="C7" s="104"/>
      <c r="D7" s="104"/>
      <c r="E7" s="104"/>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4.4" hidden="false" customHeight="false" outlineLevel="0" collapsed="false">
      <c r="A8" s="0"/>
      <c r="B8" s="243" t="s">
        <v>116</v>
      </c>
      <c r="C8" s="244" t="s">
        <v>117</v>
      </c>
      <c r="D8" s="244" t="s">
        <v>118</v>
      </c>
      <c r="E8" s="244" t="s">
        <v>119</v>
      </c>
      <c r="F8" s="0"/>
      <c r="G8" s="0"/>
      <c r="H8" s="0"/>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3.8" hidden="false" customHeight="false" outlineLevel="0" collapsed="false">
      <c r="A9" s="0"/>
      <c r="B9" s="245" t="s">
        <v>120</v>
      </c>
      <c r="C9" s="246" t="n">
        <v>0.3</v>
      </c>
      <c r="D9" s="246" t="n">
        <v>0.3</v>
      </c>
      <c r="E9" s="246" t="n">
        <v>0.3</v>
      </c>
      <c r="F9" s="0"/>
      <c r="G9" s="0"/>
      <c r="H9" s="0"/>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0"/>
      <c r="B10" s="245" t="s">
        <v>121</v>
      </c>
      <c r="C10" s="246" t="n">
        <v>0.3</v>
      </c>
      <c r="D10" s="246" t="n">
        <v>0.3</v>
      </c>
      <c r="E10" s="246" t="n">
        <v>0.3</v>
      </c>
      <c r="F10" s="0"/>
      <c r="G10" s="0"/>
      <c r="H10" s="0"/>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3.8" hidden="false" customHeight="false" outlineLevel="0" collapsed="false">
      <c r="A11" s="0"/>
      <c r="B11" s="245" t="s">
        <v>122</v>
      </c>
      <c r="C11" s="246" t="n">
        <v>0.4</v>
      </c>
      <c r="D11" s="246" t="n">
        <v>0.4</v>
      </c>
      <c r="E11" s="246" t="n">
        <v>0.4</v>
      </c>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3.8" hidden="false" customHeight="false" outlineLevel="0" collapsed="false">
      <c r="A12" s="0"/>
      <c r="B12" s="245" t="s">
        <v>123</v>
      </c>
      <c r="C12" s="247" t="n">
        <f aca="false">1-SUM(C9:C11)</f>
        <v>0</v>
      </c>
      <c r="D12" s="247" t="n">
        <f aca="false">1-SUM(D9:D11)</f>
        <v>0</v>
      </c>
      <c r="E12" s="247" t="n">
        <f aca="false">1-SUM(E9:E11)</f>
        <v>0</v>
      </c>
      <c r="F12" s="0"/>
      <c r="G12" s="0"/>
      <c r="H12" s="0"/>
      <c r="I12" s="0"/>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0"/>
      <c r="B13" s="248" t="s">
        <v>124</v>
      </c>
      <c r="C13" s="249" t="n">
        <f aca="false">SUM(C9:C12)</f>
        <v>1</v>
      </c>
      <c r="D13" s="249" t="n">
        <f aca="false">SUM(D9:D12)</f>
        <v>1</v>
      </c>
      <c r="E13" s="249" t="n">
        <f aca="false">SUM(E9:E12)</f>
        <v>1</v>
      </c>
      <c r="F13" s="0"/>
      <c r="G13" s="0"/>
      <c r="H13" s="0"/>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5" customFormat="false" ht="14.4" hidden="false" customHeight="true" outlineLevel="0" collapsed="false">
      <c r="A15" s="0"/>
      <c r="B15" s="104" t="s">
        <v>125</v>
      </c>
      <c r="C15" s="104"/>
      <c r="D15" s="104"/>
      <c r="E15" s="104"/>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4.4" hidden="false" customHeight="false" outlineLevel="0" collapsed="false">
      <c r="A16" s="0"/>
      <c r="B16" s="243" t="s">
        <v>126</v>
      </c>
      <c r="C16" s="244" t="s">
        <v>117</v>
      </c>
      <c r="D16" s="244" t="s">
        <v>118</v>
      </c>
      <c r="E16" s="244" t="s">
        <v>119</v>
      </c>
      <c r="F16" s="0"/>
      <c r="G16" s="0"/>
      <c r="H16" s="0"/>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3.8" hidden="false" customHeight="false" outlineLevel="0" collapsed="false">
      <c r="A17" s="0"/>
      <c r="B17" s="127" t="s">
        <v>120</v>
      </c>
      <c r="C17" s="246" t="n">
        <v>0</v>
      </c>
      <c r="D17" s="246" t="n">
        <v>0</v>
      </c>
      <c r="E17" s="246" t="n">
        <v>0</v>
      </c>
      <c r="F17" s="0"/>
      <c r="G17" s="0"/>
      <c r="H17" s="0"/>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8" hidden="false" customHeight="false" outlineLevel="0" collapsed="false">
      <c r="A18" s="0"/>
      <c r="B18" s="127" t="s">
        <v>121</v>
      </c>
      <c r="C18" s="246" t="n">
        <v>1</v>
      </c>
      <c r="D18" s="246" t="n">
        <v>1</v>
      </c>
      <c r="E18" s="246" t="n">
        <v>1</v>
      </c>
      <c r="F18" s="0"/>
      <c r="G18" s="0"/>
      <c r="H18" s="0"/>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3.8" hidden="false" customHeight="false" outlineLevel="0" collapsed="false">
      <c r="A19" s="0"/>
      <c r="B19" s="250" t="s">
        <v>122</v>
      </c>
      <c r="C19" s="246" t="n">
        <v>0</v>
      </c>
      <c r="D19" s="246" t="n">
        <v>0</v>
      </c>
      <c r="E19" s="246" t="n">
        <v>0</v>
      </c>
      <c r="F19" s="0"/>
      <c r="G19" s="0"/>
      <c r="H19" s="0"/>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0"/>
      <c r="B20" s="248" t="s">
        <v>124</v>
      </c>
      <c r="C20" s="251" t="n">
        <f aca="false">SUM(C17:C19)</f>
        <v>1</v>
      </c>
      <c r="D20" s="251" t="n">
        <f aca="false">SUM(D17:D19)</f>
        <v>1</v>
      </c>
      <c r="E20" s="251" t="n">
        <f aca="false">SUM(E17:E19)</f>
        <v>1</v>
      </c>
      <c r="F20" s="0"/>
      <c r="G20" s="0"/>
      <c r="H20" s="0"/>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s="95" customFormat="true" ht="13.8" hidden="false" customHeight="false" outlineLevel="0" collapsed="false"/>
    <row r="22" s="95" customFormat="true" ht="13.8" hidden="false" customHeight="false" outlineLevel="0" collapsed="false"/>
    <row r="23" s="95" customFormat="true" ht="14.4" hidden="false" customHeight="true" outlineLevel="0" collapsed="false">
      <c r="B23" s="104" t="s">
        <v>127</v>
      </c>
      <c r="C23" s="104"/>
      <c r="D23" s="104"/>
    </row>
    <row r="24" s="95" customFormat="true" ht="14.4" hidden="false" customHeight="false" outlineLevel="0" collapsed="false">
      <c r="B24" s="252" t="s">
        <v>128</v>
      </c>
      <c r="C24" s="252"/>
      <c r="D24" s="253" t="n">
        <v>0</v>
      </c>
    </row>
    <row r="25" s="95" customFormat="true" ht="13.8" hidden="false" customHeight="false" outlineLevel="0" collapsed="false">
      <c r="B25" s="254" t="s">
        <v>129</v>
      </c>
      <c r="C25" s="254"/>
      <c r="D25" s="255" t="n">
        <v>0.08</v>
      </c>
    </row>
    <row r="26" s="95" customFormat="true" ht="13.8" hidden="false" customHeight="false" outlineLevel="0" collapsed="false">
      <c r="B26" s="0"/>
      <c r="C26" s="0"/>
      <c r="D26" s="0"/>
    </row>
    <row r="27" s="95" customFormat="true" ht="14.4" hidden="false" customHeight="true" outlineLevel="0" collapsed="false">
      <c r="B27" s="104" t="s">
        <v>130</v>
      </c>
      <c r="C27" s="104"/>
      <c r="D27" s="104"/>
      <c r="E27" s="104"/>
      <c r="F27" s="104"/>
      <c r="G27" s="104"/>
      <c r="H27" s="104"/>
      <c r="I27" s="104"/>
      <c r="J27" s="104"/>
      <c r="K27" s="104"/>
      <c r="L27" s="104"/>
      <c r="M27" s="104"/>
      <c r="N27" s="104"/>
      <c r="O27" s="104"/>
      <c r="P27" s="104"/>
      <c r="Q27" s="104"/>
      <c r="R27" s="104"/>
    </row>
    <row r="28" s="95" customFormat="true" ht="28.2" hidden="false" customHeight="false" outlineLevel="0" collapsed="false">
      <c r="B28" s="256" t="s">
        <v>10</v>
      </c>
      <c r="C28" s="257" t="s">
        <v>12</v>
      </c>
      <c r="D28" s="168" t="str">
        <f aca="false">'2a-PayrollYear1'!F7</f>
        <v>Month 1</v>
      </c>
      <c r="E28" s="168" t="str">
        <f aca="false">'2a-PayrollYear1'!G7</f>
        <v>Month 2</v>
      </c>
      <c r="F28" s="168" t="str">
        <f aca="false">'2a-PayrollYear1'!H7</f>
        <v>Month 3</v>
      </c>
      <c r="G28" s="168" t="str">
        <f aca="false">'2a-PayrollYear1'!I7</f>
        <v>Month 4</v>
      </c>
      <c r="H28" s="168" t="str">
        <f aca="false">'2a-PayrollYear1'!J7</f>
        <v>Month 5</v>
      </c>
      <c r="I28" s="168" t="str">
        <f aca="false">'2a-PayrollYear1'!K7</f>
        <v>Month 6</v>
      </c>
      <c r="J28" s="168" t="str">
        <f aca="false">'2a-PayrollYear1'!L7</f>
        <v>Month 7</v>
      </c>
      <c r="K28" s="168" t="str">
        <f aca="false">'2a-PayrollYear1'!M7</f>
        <v>Month 8</v>
      </c>
      <c r="L28" s="168" t="str">
        <f aca="false">'2a-PayrollYear1'!N7</f>
        <v>Month 9</v>
      </c>
      <c r="M28" s="168" t="str">
        <f aca="false">'2a-PayrollYear1'!O7</f>
        <v>Month 10</v>
      </c>
      <c r="N28" s="168" t="str">
        <f aca="false">'2a-PayrollYear1'!P7</f>
        <v>Month 11</v>
      </c>
      <c r="O28" s="168" t="str">
        <f aca="false">'2a-PayrollYear1'!Q7</f>
        <v>Month 12</v>
      </c>
      <c r="P28" s="258" t="s">
        <v>90</v>
      </c>
      <c r="Q28" s="168" t="s">
        <v>131</v>
      </c>
      <c r="R28" s="168" t="s">
        <v>132</v>
      </c>
    </row>
    <row r="29" s="95" customFormat="true" ht="13.8" hidden="false" customHeight="false" outlineLevel="0" collapsed="false">
      <c r="B29" s="254" t="s">
        <v>133</v>
      </c>
      <c r="C29" s="259" t="n">
        <v>20</v>
      </c>
      <c r="D29" s="260" t="n">
        <f aca="false">Buildings</f>
        <v>0</v>
      </c>
      <c r="E29" s="261"/>
      <c r="F29" s="262"/>
      <c r="G29" s="262"/>
      <c r="H29" s="262"/>
      <c r="I29" s="262"/>
      <c r="J29" s="262"/>
      <c r="K29" s="262"/>
      <c r="L29" s="262"/>
      <c r="M29" s="262"/>
      <c r="N29" s="262"/>
      <c r="O29" s="262"/>
      <c r="P29" s="263" t="n">
        <f aca="false">SUM(D29:O29)</f>
        <v>0</v>
      </c>
      <c r="Q29" s="264"/>
      <c r="R29" s="264"/>
    </row>
    <row r="30" s="95" customFormat="true" ht="13.8" hidden="false" customHeight="false" outlineLevel="0" collapsed="false">
      <c r="B30" s="254" t="s">
        <v>17</v>
      </c>
      <c r="C30" s="259" t="n">
        <v>7</v>
      </c>
      <c r="D30" s="260" t="n">
        <f aca="false">LeaseImprovements</f>
        <v>0</v>
      </c>
      <c r="E30" s="261"/>
      <c r="F30" s="262"/>
      <c r="G30" s="262"/>
      <c r="H30" s="262"/>
      <c r="I30" s="262"/>
      <c r="J30" s="262"/>
      <c r="K30" s="262"/>
      <c r="L30" s="262"/>
      <c r="M30" s="262"/>
      <c r="N30" s="262"/>
      <c r="O30" s="262"/>
      <c r="P30" s="263" t="n">
        <f aca="false">SUM(D30:O30)</f>
        <v>0</v>
      </c>
      <c r="Q30" s="264"/>
      <c r="R30" s="264"/>
    </row>
    <row r="31" s="95" customFormat="true" ht="13.8" hidden="false" customHeight="false" outlineLevel="0" collapsed="false">
      <c r="B31" s="254" t="s">
        <v>18</v>
      </c>
      <c r="C31" s="259" t="n">
        <v>7</v>
      </c>
      <c r="D31" s="260" t="n">
        <f aca="false">Equipment</f>
        <v>0</v>
      </c>
      <c r="E31" s="261"/>
      <c r="F31" s="262"/>
      <c r="G31" s="262"/>
      <c r="H31" s="262"/>
      <c r="I31" s="262"/>
      <c r="J31" s="262"/>
      <c r="K31" s="262"/>
      <c r="L31" s="262"/>
      <c r="M31" s="262"/>
      <c r="N31" s="262"/>
      <c r="O31" s="262"/>
      <c r="P31" s="263" t="n">
        <f aca="false">SUM(D31:O31)</f>
        <v>0</v>
      </c>
      <c r="Q31" s="264"/>
      <c r="R31" s="264"/>
    </row>
    <row r="32" s="95" customFormat="true" ht="13.8" hidden="false" customHeight="false" outlineLevel="0" collapsed="false">
      <c r="B32" s="254" t="s">
        <v>19</v>
      </c>
      <c r="C32" s="259" t="n">
        <v>5</v>
      </c>
      <c r="D32" s="260" t="n">
        <f aca="false">Furniture</f>
        <v>0</v>
      </c>
      <c r="E32" s="261"/>
      <c r="F32" s="262"/>
      <c r="G32" s="262"/>
      <c r="H32" s="262"/>
      <c r="I32" s="262"/>
      <c r="J32" s="262"/>
      <c r="K32" s="262"/>
      <c r="L32" s="262"/>
      <c r="M32" s="262"/>
      <c r="N32" s="262"/>
      <c r="O32" s="262"/>
      <c r="P32" s="263" t="n">
        <f aca="false">SUM(D32:O32)</f>
        <v>0</v>
      </c>
      <c r="Q32" s="264"/>
      <c r="R32" s="264"/>
    </row>
    <row r="33" s="95" customFormat="true" ht="13.8" hidden="false" customHeight="false" outlineLevel="0" collapsed="false">
      <c r="B33" s="254" t="s">
        <v>20</v>
      </c>
      <c r="C33" s="259" t="n">
        <v>5</v>
      </c>
      <c r="D33" s="260" t="n">
        <f aca="false">Vehicles</f>
        <v>0</v>
      </c>
      <c r="E33" s="261"/>
      <c r="F33" s="262"/>
      <c r="G33" s="262"/>
      <c r="H33" s="262"/>
      <c r="I33" s="262"/>
      <c r="J33" s="262"/>
      <c r="K33" s="262"/>
      <c r="L33" s="262"/>
      <c r="M33" s="262"/>
      <c r="N33" s="262"/>
      <c r="O33" s="262"/>
      <c r="P33" s="263" t="n">
        <f aca="false">SUM(D33:O33)</f>
        <v>0</v>
      </c>
      <c r="Q33" s="264"/>
      <c r="R33" s="264"/>
    </row>
    <row r="34" s="95" customFormat="true" ht="13.8" hidden="false" customHeight="false" outlineLevel="0" collapsed="false">
      <c r="B34" s="254" t="s">
        <v>134</v>
      </c>
      <c r="C34" s="265" t="n">
        <v>5</v>
      </c>
      <c r="D34" s="266" t="n">
        <f aca="false">OtherFixedAssets</f>
        <v>0</v>
      </c>
      <c r="E34" s="267"/>
      <c r="F34" s="268"/>
      <c r="G34" s="262"/>
      <c r="H34" s="262"/>
      <c r="I34" s="262"/>
      <c r="J34" s="262"/>
      <c r="K34" s="262"/>
      <c r="L34" s="262"/>
      <c r="M34" s="262"/>
      <c r="N34" s="262"/>
      <c r="O34" s="262"/>
      <c r="P34" s="263" t="n">
        <f aca="false">SUM(D34:O34)</f>
        <v>0</v>
      </c>
      <c r="Q34" s="264" t="n">
        <v>0</v>
      </c>
      <c r="R34" s="264" t="n">
        <v>0</v>
      </c>
    </row>
    <row r="35" s="95" customFormat="true" ht="13.8" hidden="false" customHeight="false" outlineLevel="0" collapsed="false">
      <c r="B35" s="269" t="s">
        <v>135</v>
      </c>
      <c r="C35" s="270"/>
      <c r="D35" s="156" t="n">
        <f aca="false">SUM(D29:D34)</f>
        <v>0</v>
      </c>
      <c r="E35" s="156" t="n">
        <f aca="false">SUM(E29:E34)</f>
        <v>0</v>
      </c>
      <c r="F35" s="156" t="n">
        <f aca="false">SUM(F29:F34)</f>
        <v>0</v>
      </c>
      <c r="G35" s="156" t="n">
        <f aca="false">SUM(G29:G34)</f>
        <v>0</v>
      </c>
      <c r="H35" s="156" t="n">
        <f aca="false">SUM(H29:H34)</f>
        <v>0</v>
      </c>
      <c r="I35" s="156" t="n">
        <f aca="false">SUM(I29:I34)</f>
        <v>0</v>
      </c>
      <c r="J35" s="156" t="n">
        <f aca="false">SUM(J29:J34)</f>
        <v>0</v>
      </c>
      <c r="K35" s="156" t="n">
        <f aca="false">SUM(K29:K34)</f>
        <v>0</v>
      </c>
      <c r="L35" s="156" t="n">
        <f aca="false">SUM(L29:L34)</f>
        <v>0</v>
      </c>
      <c r="M35" s="156" t="n">
        <f aca="false">SUM(M29:M34)</f>
        <v>0</v>
      </c>
      <c r="N35" s="156" t="n">
        <f aca="false">SUM(N29:N34)</f>
        <v>0</v>
      </c>
      <c r="O35" s="156" t="n">
        <f aca="false">SUM(O29:O34)</f>
        <v>0</v>
      </c>
      <c r="P35" s="156" t="n">
        <f aca="false">SUM(P29:P34)</f>
        <v>0</v>
      </c>
      <c r="Q35" s="156" t="n">
        <f aca="false">SUM(Q29:Q34)</f>
        <v>0</v>
      </c>
      <c r="R35" s="156" t="n">
        <f aca="false">SUM(R29:R34)</f>
        <v>0</v>
      </c>
    </row>
    <row r="36" s="95" customFormat="true" ht="13.8" hidden="false" customHeight="false" outlineLevel="0" collapsed="false">
      <c r="B36" s="0"/>
      <c r="C36" s="0"/>
      <c r="D36" s="0"/>
      <c r="E36" s="0"/>
      <c r="F36" s="0"/>
      <c r="G36" s="0"/>
      <c r="H36" s="0"/>
      <c r="I36" s="93"/>
      <c r="J36" s="93"/>
      <c r="K36" s="93"/>
      <c r="L36" s="93"/>
      <c r="M36" s="93"/>
      <c r="N36" s="93"/>
      <c r="O36" s="93"/>
      <c r="P36" s="93"/>
      <c r="Q36" s="93"/>
      <c r="R36" s="93"/>
    </row>
    <row r="37" s="95" customFormat="true" ht="13.8" hidden="false" customHeight="false" outlineLevel="0" collapsed="false">
      <c r="B37" s="0"/>
      <c r="C37" s="0"/>
      <c r="D37" s="0"/>
      <c r="E37" s="0"/>
      <c r="F37" s="0"/>
      <c r="G37" s="0"/>
      <c r="H37" s="0"/>
      <c r="I37" s="93"/>
      <c r="J37" s="93"/>
      <c r="K37" s="93"/>
      <c r="L37" s="93"/>
      <c r="M37" s="93"/>
      <c r="N37" s="93"/>
      <c r="O37" s="93"/>
      <c r="P37" s="93"/>
      <c r="Q37" s="93"/>
      <c r="R37" s="93"/>
    </row>
    <row r="38" s="95" customFormat="true" ht="14.4" hidden="false" customHeight="true" outlineLevel="0" collapsed="false">
      <c r="B38" s="104" t="s">
        <v>136</v>
      </c>
      <c r="C38" s="104"/>
      <c r="D38" s="271"/>
      <c r="E38" s="271"/>
      <c r="F38" s="272"/>
      <c r="G38" s="273"/>
      <c r="H38" s="274"/>
      <c r="I38" s="93"/>
      <c r="J38" s="93"/>
      <c r="K38" s="93"/>
      <c r="L38" s="93"/>
      <c r="M38" s="93"/>
      <c r="N38" s="93"/>
      <c r="O38" s="93"/>
      <c r="P38" s="93"/>
      <c r="Q38" s="93"/>
      <c r="R38" s="93"/>
    </row>
    <row r="39" s="95" customFormat="true" ht="14.4" hidden="false" customHeight="false" outlineLevel="0" collapsed="false">
      <c r="B39" s="106" t="s">
        <v>137</v>
      </c>
      <c r="C39" s="275" t="n">
        <v>0.2</v>
      </c>
      <c r="D39" s="271"/>
      <c r="E39" s="271"/>
      <c r="F39" s="272"/>
      <c r="G39" s="276"/>
      <c r="H39" s="93"/>
      <c r="I39" s="93"/>
      <c r="J39" s="93"/>
      <c r="K39" s="93"/>
      <c r="L39" s="93"/>
      <c r="M39" s="93"/>
      <c r="N39" s="93"/>
      <c r="O39" s="93"/>
      <c r="P39" s="93"/>
      <c r="Q39" s="93"/>
      <c r="R39" s="93"/>
    </row>
    <row r="40" s="95" customFormat="true" ht="13.8" hidden="false" customHeight="false" outlineLevel="0" collapsed="false">
      <c r="B40" s="106" t="s">
        <v>138</v>
      </c>
      <c r="C40" s="275" t="n">
        <v>0.2</v>
      </c>
      <c r="D40" s="271"/>
      <c r="E40" s="271"/>
      <c r="F40" s="272"/>
      <c r="G40" s="276"/>
      <c r="H40" s="93"/>
      <c r="I40" s="93"/>
      <c r="J40" s="93"/>
      <c r="K40" s="93"/>
      <c r="L40" s="93"/>
      <c r="M40" s="93"/>
      <c r="N40" s="93"/>
      <c r="O40" s="93"/>
      <c r="P40" s="93"/>
      <c r="Q40" s="93"/>
      <c r="R40" s="93"/>
    </row>
    <row r="41" s="95" customFormat="true" ht="13.8" hidden="false" customHeight="false" outlineLevel="0" collapsed="false">
      <c r="B41" s="106" t="s">
        <v>139</v>
      </c>
      <c r="C41" s="275" t="n">
        <v>0.2</v>
      </c>
      <c r="D41" s="0"/>
      <c r="E41" s="0"/>
      <c r="G41" s="93"/>
      <c r="H41" s="93"/>
      <c r="I41" s="93"/>
      <c r="J41" s="93"/>
      <c r="K41" s="93"/>
      <c r="L41" s="93"/>
      <c r="M41" s="93"/>
      <c r="N41" s="93"/>
      <c r="O41" s="93"/>
      <c r="P41" s="93"/>
      <c r="Q41" s="93"/>
      <c r="R41" s="93"/>
    </row>
    <row r="42" s="95" customFormat="true" ht="13.8" hidden="false" customHeight="false" outlineLevel="0" collapsed="false">
      <c r="B42" s="0"/>
      <c r="C42" s="0"/>
      <c r="D42" s="0"/>
      <c r="E42" s="0"/>
      <c r="G42" s="93"/>
      <c r="H42" s="93"/>
      <c r="I42" s="93"/>
      <c r="J42" s="93"/>
      <c r="K42" s="93"/>
      <c r="L42" s="93"/>
      <c r="M42" s="93"/>
      <c r="N42" s="93"/>
      <c r="O42" s="93"/>
      <c r="P42" s="93"/>
      <c r="Q42" s="93"/>
      <c r="R42" s="93"/>
    </row>
    <row r="43" s="95" customFormat="true" ht="14.4" hidden="false" customHeight="true" outlineLevel="0" collapsed="false">
      <c r="B43" s="104" t="s">
        <v>140</v>
      </c>
      <c r="C43" s="104"/>
      <c r="D43" s="0"/>
      <c r="E43" s="0"/>
      <c r="G43" s="93"/>
      <c r="H43" s="93"/>
      <c r="I43" s="93"/>
      <c r="J43" s="93"/>
      <c r="K43" s="93"/>
      <c r="L43" s="93"/>
      <c r="M43" s="93"/>
      <c r="N43" s="93"/>
      <c r="O43" s="93"/>
      <c r="P43" s="93"/>
      <c r="Q43" s="93"/>
      <c r="R43" s="93"/>
    </row>
    <row r="44" s="95" customFormat="true" ht="14.4" hidden="false" customHeight="false" outlineLevel="0" collapsed="false">
      <c r="B44" s="277" t="s">
        <v>141</v>
      </c>
      <c r="C44" s="278" t="n">
        <v>3</v>
      </c>
      <c r="D44" s="0"/>
      <c r="E44" s="0"/>
      <c r="G44" s="93"/>
      <c r="H44" s="93"/>
      <c r="I44" s="93"/>
      <c r="J44" s="93"/>
      <c r="K44" s="93"/>
      <c r="L44" s="93"/>
      <c r="M44" s="93"/>
      <c r="N44" s="93"/>
      <c r="O44" s="93"/>
      <c r="P44" s="93"/>
      <c r="Q44" s="93"/>
      <c r="R44" s="93"/>
    </row>
  </sheetData>
  <sheetProtection sheet="true" password="cc3d" objects="true" scenarios="true" formatColumns="false" formatRows="false"/>
  <mergeCells count="8">
    <mergeCell ref="B7:E7"/>
    <mergeCell ref="B15:E15"/>
    <mergeCell ref="B23:D23"/>
    <mergeCell ref="B24:C24"/>
    <mergeCell ref="B25:C25"/>
    <mergeCell ref="B27:R27"/>
    <mergeCell ref="B38:C38"/>
    <mergeCell ref="B43:C43"/>
  </mergeCells>
  <conditionalFormatting sqref="D29:O34,Q29:R34">
    <cfRule type="expression" priority="2" aboveAverage="0" equalAverage="0" bottom="0" percent="0" rank="0" text="" dxfId="0">
      <formula>LEN(TRIM(D29))=0</formula>
    </cfRule>
  </conditionalFormatting>
  <printOptions headings="false" gridLines="false" gridLinesSet="true" horizontalCentered="true" verticalCentered="false"/>
  <pageMargins left="0.7" right="0.7"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MT,Regular"&amp;12Additional Inputs</oddHeader>
    <oddFooter>&amp;L&amp;"Gill Sans MT,Regular"&amp;12&amp;F&amp;C&amp;"Gill Sans MT,Regular"&amp;12&amp;A&amp;R&amp;"Gill Sans MT,Regular"&amp;12&amp;D &amp;T</oddFooter>
  </headerFooter>
  <legacyDrawing r:id="rId2"/>
</worksheet>
</file>

<file path=xl/worksheets/sheet8.xml><?xml version="1.0" encoding="utf-8"?>
<worksheet xmlns="http://schemas.openxmlformats.org/spreadsheetml/2006/main" xmlns:r="http://schemas.openxmlformats.org/officeDocument/2006/relationships">
  <sheetPr filterMode="false">
    <pageSetUpPr fitToPage="true"/>
  </sheetPr>
  <dimension ref="A1:R38"/>
  <sheetViews>
    <sheetView windowProtection="false" showFormulas="false" showGridLines="true" showRowColHeaders="true" showZeros="true" rightToLeft="false" tabSelected="false" showOutlineSymbols="true" defaultGridColor="true" view="normal" topLeftCell="A4" colorId="64" zoomScale="80" zoomScaleNormal="80" zoomScalePageLayoutView="100" workbookViewId="0">
      <selection pane="topLeft" activeCell="B35" activeCellId="0" sqref="B35"/>
    </sheetView>
  </sheetViews>
  <sheetFormatPr defaultRowHeight="13.8"/>
  <cols>
    <col collapsed="false" hidden="false" max="1" min="1" style="95" width="8.88259109311741"/>
    <col collapsed="false" hidden="false" max="2" min="2" style="93" width="46.6599190283401"/>
    <col collapsed="false" hidden="false" max="13" min="3" style="93" width="9.66396761133603"/>
    <col collapsed="false" hidden="false" max="14" min="14" style="93" width="11.331983805668"/>
    <col collapsed="false" hidden="false" max="15" min="15" style="93" width="15.331983805668"/>
    <col collapsed="false" hidden="false" max="16" min="16" style="95" width="8.88259109311741"/>
    <col collapsed="false" hidden="false" max="17" min="17" style="93" width="8.88259109311741"/>
    <col collapsed="false" hidden="false" max="18" min="18" style="93" width="14.8906882591093"/>
    <col collapsed="false" hidden="false" max="1025" min="19" style="93" width="8.88259109311741"/>
  </cols>
  <sheetData>
    <row r="1" customFormat="false" ht="13.8" hidden="false" customHeight="false" outlineLevel="0" collapsed="false">
      <c r="A1" s="0"/>
      <c r="B1" s="95"/>
      <c r="C1" s="95"/>
      <c r="D1" s="95"/>
      <c r="E1" s="95"/>
      <c r="F1" s="95"/>
      <c r="G1" s="95"/>
      <c r="H1" s="95"/>
      <c r="I1" s="95"/>
      <c r="J1" s="95"/>
      <c r="K1" s="95"/>
      <c r="L1" s="95"/>
      <c r="M1" s="95"/>
      <c r="N1" s="95"/>
      <c r="O1" s="95"/>
      <c r="R1" s="0"/>
    </row>
    <row r="2" customFormat="false" ht="13.8" hidden="false" customHeight="false" outlineLevel="0" collapsed="false">
      <c r="A2" s="279"/>
      <c r="B2" s="100" t="s">
        <v>142</v>
      </c>
      <c r="C2" s="98"/>
      <c r="D2" s="280"/>
      <c r="E2" s="281"/>
      <c r="F2" s="281"/>
      <c r="G2" s="281"/>
      <c r="H2" s="281"/>
      <c r="I2" s="281"/>
      <c r="J2" s="281"/>
      <c r="K2" s="281"/>
      <c r="L2" s="281"/>
      <c r="M2" s="95"/>
      <c r="N2" s="95"/>
      <c r="O2" s="95"/>
      <c r="R2" s="0"/>
    </row>
    <row r="3" customFormat="false" ht="18" hidden="false" customHeight="true" outlineLevel="0" collapsed="false">
      <c r="A3" s="279"/>
      <c r="B3" s="98"/>
      <c r="C3" s="98"/>
      <c r="D3" s="280"/>
      <c r="E3" s="281"/>
      <c r="F3" s="281"/>
      <c r="G3" s="281"/>
      <c r="H3" s="281"/>
      <c r="I3" s="281"/>
      <c r="J3" s="281"/>
      <c r="K3" s="281"/>
      <c r="L3" s="281"/>
      <c r="M3" s="95"/>
      <c r="N3" s="95"/>
      <c r="O3" s="95"/>
      <c r="R3" s="0"/>
    </row>
    <row r="4" customFormat="false" ht="13.8" hidden="false" customHeight="false" outlineLevel="0" collapsed="false">
      <c r="A4" s="279"/>
      <c r="B4" s="282" t="s">
        <v>8</v>
      </c>
      <c r="C4" s="283" t="s">
        <v>9</v>
      </c>
      <c r="D4" s="283"/>
      <c r="E4" s="281"/>
      <c r="F4" s="281"/>
      <c r="G4" s="281"/>
      <c r="H4" s="281"/>
      <c r="I4" s="281"/>
      <c r="J4" s="281"/>
      <c r="K4" s="281"/>
      <c r="L4" s="281"/>
      <c r="M4" s="281"/>
      <c r="N4" s="284"/>
      <c r="O4" s="95"/>
      <c r="R4" s="0"/>
    </row>
    <row r="5" customFormat="false" ht="13.8" hidden="false" customHeight="false" outlineLevel="0" collapsed="false">
      <c r="A5" s="279"/>
      <c r="B5" s="96" t="str">
        <f aca="false">IF(ISBLANK(Directions!C6), "Owner", Directions!C6)</f>
        <v>Owner</v>
      </c>
      <c r="C5" s="96" t="str">
        <f aca="false">IF(ISBLANK(Directions!D6), "Company 1", Directions!D6)</f>
        <v>Company 1</v>
      </c>
      <c r="D5" s="96"/>
      <c r="E5" s="166"/>
      <c r="F5" s="165"/>
      <c r="G5" s="95"/>
      <c r="H5" s="95"/>
      <c r="I5" s="95"/>
      <c r="J5" s="95"/>
      <c r="K5" s="95"/>
      <c r="L5" s="95"/>
      <c r="M5" s="95"/>
      <c r="N5" s="284"/>
      <c r="O5" s="95"/>
      <c r="R5" s="0"/>
    </row>
    <row r="6" customFormat="false" ht="13.8" hidden="false" customHeight="false" outlineLevel="0" collapsed="false">
      <c r="A6" s="279"/>
      <c r="B6" s="95"/>
      <c r="C6" s="95"/>
      <c r="D6" s="95"/>
      <c r="E6" s="95"/>
      <c r="F6" s="95"/>
      <c r="G6" s="95"/>
      <c r="H6" s="95"/>
      <c r="I6" s="95"/>
      <c r="J6" s="95"/>
      <c r="K6" s="95"/>
      <c r="L6" s="95"/>
      <c r="M6" s="95"/>
      <c r="N6" s="95"/>
      <c r="O6" s="95"/>
      <c r="R6" s="0"/>
    </row>
    <row r="7" customFormat="false" ht="13.8" hidden="false" customHeight="false" outlineLevel="0" collapsed="false">
      <c r="A7" s="279"/>
      <c r="B7" s="95"/>
      <c r="C7" s="165"/>
      <c r="D7" s="179"/>
      <c r="E7" s="179"/>
      <c r="F7" s="179"/>
      <c r="G7" s="179"/>
      <c r="H7" s="179"/>
      <c r="I7" s="179"/>
      <c r="J7" s="179"/>
      <c r="K7" s="179"/>
      <c r="L7" s="179"/>
      <c r="M7" s="179"/>
      <c r="N7" s="179"/>
      <c r="O7" s="179"/>
      <c r="R7" s="0"/>
    </row>
    <row r="8" customFormat="false" ht="14.4" hidden="false" customHeight="false" outlineLevel="0" collapsed="false">
      <c r="A8" s="279"/>
      <c r="B8" s="285"/>
      <c r="C8" s="104" t="str">
        <f aca="false">'2a-PayrollYear1'!F7</f>
        <v>Month 1</v>
      </c>
      <c r="D8" s="104" t="str">
        <f aca="false">'2a-PayrollYear1'!G7</f>
        <v>Month 2</v>
      </c>
      <c r="E8" s="104" t="str">
        <f aca="false">'2a-PayrollYear1'!H7</f>
        <v>Month 3</v>
      </c>
      <c r="F8" s="104" t="str">
        <f aca="false">'2a-PayrollYear1'!I7</f>
        <v>Month 4</v>
      </c>
      <c r="G8" s="104" t="str">
        <f aca="false">'2a-PayrollYear1'!J7</f>
        <v>Month 5</v>
      </c>
      <c r="H8" s="104" t="str">
        <f aca="false">'2a-PayrollYear1'!K7</f>
        <v>Month 6</v>
      </c>
      <c r="I8" s="104" t="str">
        <f aca="false">'2a-PayrollYear1'!L7</f>
        <v>Month 7</v>
      </c>
      <c r="J8" s="104" t="str">
        <f aca="false">'2a-PayrollYear1'!M7</f>
        <v>Month 8</v>
      </c>
      <c r="K8" s="104" t="str">
        <f aca="false">'2a-PayrollYear1'!N7</f>
        <v>Month 9</v>
      </c>
      <c r="L8" s="104" t="str">
        <f aca="false">'2a-PayrollYear1'!O7</f>
        <v>Month 10</v>
      </c>
      <c r="M8" s="104" t="str">
        <f aca="false">'2a-PayrollYear1'!P7</f>
        <v>Month 11</v>
      </c>
      <c r="N8" s="104" t="str">
        <f aca="false">'2a-PayrollYear1'!Q7</f>
        <v>Month 12</v>
      </c>
      <c r="O8" s="104" t="s">
        <v>68</v>
      </c>
      <c r="R8" s="0"/>
    </row>
    <row r="9" customFormat="false" ht="14.4" hidden="false" customHeight="false" outlineLevel="0" collapsed="false">
      <c r="A9" s="279"/>
      <c r="B9" s="286" t="s">
        <v>143</v>
      </c>
      <c r="C9" s="287"/>
      <c r="D9" s="287"/>
      <c r="E9" s="287"/>
      <c r="F9" s="287"/>
      <c r="G9" s="287"/>
      <c r="H9" s="287"/>
      <c r="I9" s="287"/>
      <c r="J9" s="287"/>
      <c r="K9" s="287"/>
      <c r="L9" s="287"/>
      <c r="M9" s="287"/>
      <c r="N9" s="287"/>
      <c r="O9" s="288"/>
      <c r="R9" s="0"/>
    </row>
    <row r="10" customFormat="false" ht="13.8" hidden="false" customHeight="false" outlineLevel="0" collapsed="false">
      <c r="A10" s="279"/>
      <c r="B10" s="289" t="s">
        <v>144</v>
      </c>
      <c r="C10" s="290"/>
      <c r="D10" s="290"/>
      <c r="E10" s="290"/>
      <c r="F10" s="290"/>
      <c r="G10" s="290"/>
      <c r="H10" s="290"/>
      <c r="I10" s="290"/>
      <c r="J10" s="290"/>
      <c r="K10" s="290"/>
      <c r="L10" s="290"/>
      <c r="M10" s="290"/>
      <c r="N10" s="290"/>
      <c r="O10" s="117" t="n">
        <f aca="false">SUM(C10:N10)</f>
        <v>0</v>
      </c>
      <c r="R10" s="0"/>
    </row>
    <row r="11" customFormat="false" ht="13.8" hidden="false" customHeight="false" outlineLevel="0" collapsed="false">
      <c r="A11" s="279"/>
      <c r="B11" s="289" t="s">
        <v>145</v>
      </c>
      <c r="C11" s="290"/>
      <c r="D11" s="290"/>
      <c r="E11" s="290"/>
      <c r="F11" s="290"/>
      <c r="G11" s="290"/>
      <c r="H11" s="290"/>
      <c r="I11" s="290"/>
      <c r="J11" s="290"/>
      <c r="K11" s="290"/>
      <c r="L11" s="290"/>
      <c r="M11" s="290"/>
      <c r="N11" s="290"/>
      <c r="O11" s="117" t="n">
        <f aca="false">SUM(C11:N11)</f>
        <v>0</v>
      </c>
      <c r="R11" s="0"/>
    </row>
    <row r="12" customFormat="false" ht="13.8" hidden="false" customHeight="false" outlineLevel="0" collapsed="false">
      <c r="A12" s="279"/>
      <c r="B12" s="289" t="s">
        <v>146</v>
      </c>
      <c r="C12" s="290"/>
      <c r="D12" s="290"/>
      <c r="E12" s="290"/>
      <c r="F12" s="290"/>
      <c r="G12" s="290"/>
      <c r="H12" s="290"/>
      <c r="I12" s="290"/>
      <c r="J12" s="290"/>
      <c r="K12" s="290"/>
      <c r="L12" s="290"/>
      <c r="M12" s="290"/>
      <c r="N12" s="290"/>
      <c r="O12" s="117" t="n">
        <f aca="false">SUM(C12:N12)</f>
        <v>0</v>
      </c>
      <c r="R12" s="0"/>
    </row>
    <row r="13" customFormat="false" ht="13.8" hidden="false" customHeight="false" outlineLevel="0" collapsed="false">
      <c r="A13" s="279"/>
      <c r="B13" s="289" t="s">
        <v>147</v>
      </c>
      <c r="C13" s="290"/>
      <c r="D13" s="290"/>
      <c r="E13" s="290"/>
      <c r="F13" s="290"/>
      <c r="G13" s="290"/>
      <c r="H13" s="290"/>
      <c r="I13" s="290"/>
      <c r="J13" s="290"/>
      <c r="K13" s="290"/>
      <c r="L13" s="290"/>
      <c r="M13" s="290"/>
      <c r="N13" s="290"/>
      <c r="O13" s="117" t="n">
        <f aca="false">SUM(C13:N13)</f>
        <v>0</v>
      </c>
      <c r="R13" s="0"/>
    </row>
    <row r="14" customFormat="false" ht="13.8" hidden="false" customHeight="false" outlineLevel="0" collapsed="false">
      <c r="A14" s="279"/>
      <c r="B14" s="289" t="s">
        <v>148</v>
      </c>
      <c r="C14" s="290"/>
      <c r="D14" s="290"/>
      <c r="E14" s="290"/>
      <c r="F14" s="290"/>
      <c r="G14" s="290"/>
      <c r="H14" s="290"/>
      <c r="I14" s="290"/>
      <c r="J14" s="290"/>
      <c r="K14" s="290"/>
      <c r="L14" s="290"/>
      <c r="M14" s="290"/>
      <c r="N14" s="290"/>
      <c r="O14" s="117" t="n">
        <f aca="false">SUM(C14:N14)</f>
        <v>0</v>
      </c>
      <c r="R14" s="0"/>
    </row>
    <row r="15" customFormat="false" ht="13.8" hidden="false" customHeight="false" outlineLevel="0" collapsed="false">
      <c r="A15" s="279"/>
      <c r="B15" s="289" t="s">
        <v>149</v>
      </c>
      <c r="C15" s="290"/>
      <c r="D15" s="290"/>
      <c r="E15" s="290"/>
      <c r="F15" s="290"/>
      <c r="G15" s="290"/>
      <c r="H15" s="290"/>
      <c r="I15" s="290"/>
      <c r="J15" s="290"/>
      <c r="K15" s="290"/>
      <c r="L15" s="290"/>
      <c r="M15" s="290"/>
      <c r="N15" s="290"/>
      <c r="O15" s="117" t="n">
        <f aca="false">SUM(C15:N15)</f>
        <v>0</v>
      </c>
      <c r="R15" s="0"/>
    </row>
    <row r="16" customFormat="false" ht="13.8" hidden="false" customHeight="false" outlineLevel="0" collapsed="false">
      <c r="A16" s="279"/>
      <c r="B16" s="289" t="s">
        <v>32</v>
      </c>
      <c r="C16" s="290"/>
      <c r="D16" s="290"/>
      <c r="E16" s="290"/>
      <c r="F16" s="290"/>
      <c r="G16" s="290"/>
      <c r="H16" s="290"/>
      <c r="I16" s="290"/>
      <c r="J16" s="290"/>
      <c r="K16" s="290"/>
      <c r="L16" s="290"/>
      <c r="M16" s="290"/>
      <c r="N16" s="290"/>
      <c r="O16" s="117" t="n">
        <f aca="false">SUM(C16:N16)</f>
        <v>0</v>
      </c>
      <c r="R16" s="0"/>
    </row>
    <row r="17" customFormat="false" ht="13.8" hidden="false" customHeight="false" outlineLevel="0" collapsed="false">
      <c r="A17" s="279"/>
      <c r="B17" s="289" t="s">
        <v>150</v>
      </c>
      <c r="C17" s="290"/>
      <c r="D17" s="290"/>
      <c r="E17" s="290"/>
      <c r="F17" s="290"/>
      <c r="G17" s="290"/>
      <c r="H17" s="290"/>
      <c r="I17" s="290"/>
      <c r="J17" s="290"/>
      <c r="K17" s="290"/>
      <c r="L17" s="290"/>
      <c r="M17" s="290"/>
      <c r="N17" s="290"/>
      <c r="O17" s="117" t="n">
        <f aca="false">SUM(C17:N17)</f>
        <v>0</v>
      </c>
      <c r="R17" s="0"/>
    </row>
    <row r="18" customFormat="false" ht="13.8" hidden="false" customHeight="false" outlineLevel="0" collapsed="false">
      <c r="A18" s="279"/>
      <c r="B18" s="289" t="s">
        <v>151</v>
      </c>
      <c r="C18" s="290"/>
      <c r="D18" s="290"/>
      <c r="E18" s="290"/>
      <c r="F18" s="290"/>
      <c r="G18" s="290"/>
      <c r="H18" s="290"/>
      <c r="I18" s="290"/>
      <c r="J18" s="290"/>
      <c r="K18" s="290"/>
      <c r="L18" s="290"/>
      <c r="M18" s="290"/>
      <c r="N18" s="290"/>
      <c r="O18" s="117" t="n">
        <f aca="false">SUM(C18:N18)</f>
        <v>0</v>
      </c>
      <c r="R18" s="0"/>
    </row>
    <row r="19" customFormat="false" ht="13.8" hidden="false" customHeight="false" outlineLevel="0" collapsed="false">
      <c r="A19" s="279"/>
      <c r="B19" s="289" t="s">
        <v>152</v>
      </c>
      <c r="C19" s="290"/>
      <c r="D19" s="290"/>
      <c r="E19" s="290"/>
      <c r="F19" s="290"/>
      <c r="G19" s="290"/>
      <c r="H19" s="290"/>
      <c r="I19" s="290"/>
      <c r="J19" s="290"/>
      <c r="K19" s="290"/>
      <c r="L19" s="290"/>
      <c r="M19" s="290"/>
      <c r="N19" s="290"/>
      <c r="O19" s="117" t="n">
        <f aca="false">SUM(C19:N19)</f>
        <v>0</v>
      </c>
      <c r="R19" s="0"/>
    </row>
    <row r="20" customFormat="false" ht="13.8" hidden="false" customHeight="false" outlineLevel="0" collapsed="false">
      <c r="A20" s="279"/>
      <c r="B20" s="289" t="s">
        <v>153</v>
      </c>
      <c r="C20" s="290"/>
      <c r="D20" s="290"/>
      <c r="E20" s="290"/>
      <c r="F20" s="290"/>
      <c r="G20" s="290"/>
      <c r="H20" s="290"/>
      <c r="I20" s="290"/>
      <c r="J20" s="290"/>
      <c r="K20" s="290"/>
      <c r="L20" s="290"/>
      <c r="M20" s="290"/>
      <c r="N20" s="290"/>
      <c r="O20" s="117" t="n">
        <f aca="false">SUM(C20:N20)</f>
        <v>0</v>
      </c>
      <c r="R20" s="0"/>
    </row>
    <row r="21" customFormat="false" ht="13.8" hidden="false" customHeight="false" outlineLevel="0" collapsed="false">
      <c r="A21" s="279"/>
      <c r="B21" s="289" t="s">
        <v>30</v>
      </c>
      <c r="C21" s="290"/>
      <c r="D21" s="290"/>
      <c r="E21" s="290"/>
      <c r="F21" s="290"/>
      <c r="G21" s="290"/>
      <c r="H21" s="290"/>
      <c r="I21" s="290"/>
      <c r="J21" s="290"/>
      <c r="K21" s="290"/>
      <c r="L21" s="290"/>
      <c r="M21" s="290"/>
      <c r="N21" s="290"/>
      <c r="O21" s="117" t="n">
        <f aca="false">SUM(C21:N21)</f>
        <v>0</v>
      </c>
      <c r="R21" s="0"/>
    </row>
    <row r="22" customFormat="false" ht="13.8" hidden="false" customHeight="false" outlineLevel="0" collapsed="false">
      <c r="A22" s="279"/>
      <c r="B22" s="289" t="s">
        <v>154</v>
      </c>
      <c r="C22" s="290"/>
      <c r="D22" s="290"/>
      <c r="E22" s="290"/>
      <c r="F22" s="290"/>
      <c r="G22" s="290"/>
      <c r="H22" s="290"/>
      <c r="I22" s="290"/>
      <c r="J22" s="290"/>
      <c r="K22" s="290"/>
      <c r="L22" s="290"/>
      <c r="M22" s="290"/>
      <c r="N22" s="290"/>
      <c r="O22" s="117" t="n">
        <f aca="false">SUM(C22:N22)</f>
        <v>0</v>
      </c>
      <c r="R22" s="0"/>
    </row>
    <row r="23" customFormat="false" ht="13.8" hidden="false" customHeight="false" outlineLevel="0" collapsed="false">
      <c r="A23" s="279"/>
      <c r="B23" s="289" t="s">
        <v>155</v>
      </c>
      <c r="C23" s="290"/>
      <c r="D23" s="290"/>
      <c r="E23" s="290"/>
      <c r="F23" s="290"/>
      <c r="G23" s="290"/>
      <c r="H23" s="290"/>
      <c r="I23" s="290"/>
      <c r="J23" s="290"/>
      <c r="K23" s="290"/>
      <c r="L23" s="290"/>
      <c r="M23" s="290"/>
      <c r="N23" s="290"/>
      <c r="O23" s="117" t="n">
        <f aca="false">SUM(C23:N23)</f>
        <v>0</v>
      </c>
      <c r="R23" s="0"/>
    </row>
    <row r="24" customFormat="false" ht="13.8" hidden="false" customHeight="false" outlineLevel="0" collapsed="false">
      <c r="A24" s="279"/>
      <c r="B24" s="289" t="s">
        <v>156</v>
      </c>
      <c r="C24" s="290"/>
      <c r="D24" s="290"/>
      <c r="E24" s="290"/>
      <c r="F24" s="290"/>
      <c r="G24" s="290"/>
      <c r="H24" s="290"/>
      <c r="I24" s="290"/>
      <c r="J24" s="290"/>
      <c r="K24" s="290"/>
      <c r="L24" s="290"/>
      <c r="M24" s="290"/>
      <c r="N24" s="290"/>
      <c r="O24" s="117" t="n">
        <f aca="false">SUM(C24:N24)</f>
        <v>0</v>
      </c>
      <c r="R24" s="0"/>
    </row>
    <row r="25" customFormat="false" ht="13.8" hidden="false" customHeight="false" outlineLevel="0" collapsed="false">
      <c r="A25" s="279"/>
      <c r="B25" s="120" t="s">
        <v>157</v>
      </c>
      <c r="C25" s="291" t="n">
        <f aca="false">SUM(C10:C24)</f>
        <v>0</v>
      </c>
      <c r="D25" s="291" t="n">
        <f aca="false">SUM(D10:D24)</f>
        <v>0</v>
      </c>
      <c r="E25" s="291" t="n">
        <f aca="false">SUM(E10:E24)</f>
        <v>0</v>
      </c>
      <c r="F25" s="291" t="n">
        <f aca="false">SUM(F10:F24)</f>
        <v>0</v>
      </c>
      <c r="G25" s="291" t="n">
        <f aca="false">SUM(G10:G24)</f>
        <v>0</v>
      </c>
      <c r="H25" s="291" t="n">
        <f aca="false">SUM(H10:H24)</f>
        <v>0</v>
      </c>
      <c r="I25" s="291" t="n">
        <f aca="false">SUM(I10:I24)</f>
        <v>0</v>
      </c>
      <c r="J25" s="291" t="n">
        <f aca="false">SUM(J10:J24)</f>
        <v>0</v>
      </c>
      <c r="K25" s="291" t="n">
        <f aca="false">SUM(K10:K24)</f>
        <v>0</v>
      </c>
      <c r="L25" s="291" t="n">
        <f aca="false">SUM(L10:L24)</f>
        <v>0</v>
      </c>
      <c r="M25" s="291" t="n">
        <f aca="false">SUM(M10:M24)</f>
        <v>0</v>
      </c>
      <c r="N25" s="291" t="n">
        <f aca="false">SUM(N10:N24)</f>
        <v>0</v>
      </c>
      <c r="O25" s="117" t="n">
        <f aca="false">SUM(C25:N25)</f>
        <v>0</v>
      </c>
      <c r="R25" s="0"/>
    </row>
    <row r="26" customFormat="false" ht="13.8" hidden="false" customHeight="false" outlineLevel="0" collapsed="false">
      <c r="A26" s="279"/>
      <c r="B26" s="120"/>
      <c r="C26" s="292"/>
      <c r="D26" s="292"/>
      <c r="E26" s="292"/>
      <c r="F26" s="292"/>
      <c r="G26" s="292"/>
      <c r="H26" s="292"/>
      <c r="I26" s="292"/>
      <c r="J26" s="292"/>
      <c r="K26" s="292"/>
      <c r="L26" s="292"/>
      <c r="M26" s="292"/>
      <c r="N26" s="292"/>
      <c r="O26" s="140"/>
      <c r="R26" s="0"/>
    </row>
    <row r="27" customFormat="false" ht="13.8" hidden="false" customHeight="false" outlineLevel="0" collapsed="false">
      <c r="A27" s="279"/>
      <c r="B27" s="293" t="s">
        <v>158</v>
      </c>
      <c r="C27" s="294"/>
      <c r="D27" s="294"/>
      <c r="E27" s="294"/>
      <c r="F27" s="294"/>
      <c r="G27" s="294"/>
      <c r="H27" s="294"/>
      <c r="I27" s="294"/>
      <c r="J27" s="294"/>
      <c r="K27" s="294"/>
      <c r="L27" s="294"/>
      <c r="M27" s="294"/>
      <c r="N27" s="294"/>
      <c r="O27" s="113"/>
      <c r="R27" s="0"/>
    </row>
    <row r="28" customFormat="false" ht="13.8" hidden="false" customHeight="false" outlineLevel="0" collapsed="false">
      <c r="B28" s="295" t="s">
        <v>159</v>
      </c>
      <c r="C28" s="296" t="n">
        <f aca="false">'Amortization&amp;Depreciation'!C119</f>
        <v>0</v>
      </c>
      <c r="D28" s="296" t="n">
        <f aca="false">'Amortization&amp;Depreciation'!D119</f>
        <v>0</v>
      </c>
      <c r="E28" s="296" t="n">
        <f aca="false">'Amortization&amp;Depreciation'!E119</f>
        <v>0</v>
      </c>
      <c r="F28" s="296" t="n">
        <f aca="false">'Amortization&amp;Depreciation'!F119</f>
        <v>0</v>
      </c>
      <c r="G28" s="296" t="n">
        <f aca="false">'Amortization&amp;Depreciation'!G119</f>
        <v>0</v>
      </c>
      <c r="H28" s="296" t="n">
        <f aca="false">'Amortization&amp;Depreciation'!H119</f>
        <v>0</v>
      </c>
      <c r="I28" s="296" t="n">
        <f aca="false">'Amortization&amp;Depreciation'!I119</f>
        <v>0</v>
      </c>
      <c r="J28" s="296" t="n">
        <f aca="false">'Amortization&amp;Depreciation'!J119</f>
        <v>0</v>
      </c>
      <c r="K28" s="296" t="n">
        <f aca="false">'Amortization&amp;Depreciation'!K119</f>
        <v>0</v>
      </c>
      <c r="L28" s="296" t="n">
        <f aca="false">'Amortization&amp;Depreciation'!L119</f>
        <v>0</v>
      </c>
      <c r="M28" s="296" t="n">
        <f aca="false">'Amortization&amp;Depreciation'!M119</f>
        <v>0</v>
      </c>
      <c r="N28" s="296" t="n">
        <f aca="false">'Amortization&amp;Depreciation'!N119</f>
        <v>0</v>
      </c>
      <c r="O28" s="117" t="n">
        <f aca="false">SUM(C28:N28)</f>
        <v>0</v>
      </c>
      <c r="R28" s="0"/>
    </row>
    <row r="29" customFormat="false" ht="13.8" hidden="false" customHeight="false" outlineLevel="0" collapsed="false">
      <c r="B29" s="295" t="s">
        <v>160</v>
      </c>
      <c r="C29" s="250"/>
      <c r="D29" s="250"/>
      <c r="E29" s="250"/>
      <c r="F29" s="250"/>
      <c r="G29" s="250"/>
      <c r="H29" s="250"/>
      <c r="I29" s="250"/>
      <c r="J29" s="250"/>
      <c r="K29" s="250"/>
      <c r="L29" s="250"/>
      <c r="M29" s="250"/>
      <c r="N29" s="250"/>
      <c r="O29" s="113"/>
      <c r="R29" s="0"/>
    </row>
    <row r="30" customFormat="false" ht="13.8" hidden="false" customHeight="false" outlineLevel="0" collapsed="false">
      <c r="B30" s="297" t="str">
        <f aca="false">'1-StartingPoint'!B37</f>
        <v>Commercial Loan</v>
      </c>
      <c r="C30" s="296" t="n">
        <f aca="false">'Amortization&amp;Depreciation'!C15</f>
        <v>0</v>
      </c>
      <c r="D30" s="296" t="n">
        <f aca="false">'Amortization&amp;Depreciation'!D15</f>
        <v>0</v>
      </c>
      <c r="E30" s="296" t="n">
        <f aca="false">'Amortization&amp;Depreciation'!E15</f>
        <v>0</v>
      </c>
      <c r="F30" s="296" t="n">
        <f aca="false">'Amortization&amp;Depreciation'!F15</f>
        <v>0</v>
      </c>
      <c r="G30" s="296" t="n">
        <f aca="false">'Amortization&amp;Depreciation'!G15</f>
        <v>0</v>
      </c>
      <c r="H30" s="296" t="n">
        <f aca="false">'Amortization&amp;Depreciation'!H15</f>
        <v>0</v>
      </c>
      <c r="I30" s="296" t="n">
        <f aca="false">'Amortization&amp;Depreciation'!I15</f>
        <v>0</v>
      </c>
      <c r="J30" s="296" t="n">
        <f aca="false">'Amortization&amp;Depreciation'!J15</f>
        <v>0</v>
      </c>
      <c r="K30" s="296" t="n">
        <f aca="false">'Amortization&amp;Depreciation'!K15</f>
        <v>0</v>
      </c>
      <c r="L30" s="296" t="n">
        <f aca="false">'Amortization&amp;Depreciation'!L15</f>
        <v>0</v>
      </c>
      <c r="M30" s="296" t="n">
        <f aca="false">'Amortization&amp;Depreciation'!M15</f>
        <v>0</v>
      </c>
      <c r="N30" s="296" t="n">
        <f aca="false">'Amortization&amp;Depreciation'!N15</f>
        <v>0</v>
      </c>
      <c r="O30" s="117" t="n">
        <f aca="false">SUM(C30:N30)</f>
        <v>0</v>
      </c>
      <c r="R30" s="0"/>
    </row>
    <row r="31" customFormat="false" ht="13.8" hidden="false" customHeight="false" outlineLevel="0" collapsed="false">
      <c r="B31" s="297" t="str">
        <f aca="false">'1-StartingPoint'!B38</f>
        <v>Commercial Mortgage</v>
      </c>
      <c r="C31" s="296" t="n">
        <f aca="false">'Amortization&amp;Depreciation'!C35</f>
        <v>0</v>
      </c>
      <c r="D31" s="296" t="n">
        <f aca="false">'Amortization&amp;Depreciation'!D35</f>
        <v>0</v>
      </c>
      <c r="E31" s="296" t="n">
        <f aca="false">'Amortization&amp;Depreciation'!E35</f>
        <v>0</v>
      </c>
      <c r="F31" s="296" t="n">
        <f aca="false">'Amortization&amp;Depreciation'!F35</f>
        <v>0</v>
      </c>
      <c r="G31" s="296" t="n">
        <f aca="false">'Amortization&amp;Depreciation'!G35</f>
        <v>0</v>
      </c>
      <c r="H31" s="296" t="n">
        <f aca="false">'Amortization&amp;Depreciation'!H35</f>
        <v>0</v>
      </c>
      <c r="I31" s="296" t="n">
        <f aca="false">'Amortization&amp;Depreciation'!I35</f>
        <v>0</v>
      </c>
      <c r="J31" s="296" t="n">
        <f aca="false">'Amortization&amp;Depreciation'!J35</f>
        <v>0</v>
      </c>
      <c r="K31" s="296" t="n">
        <f aca="false">'Amortization&amp;Depreciation'!K35</f>
        <v>0</v>
      </c>
      <c r="L31" s="296" t="n">
        <f aca="false">'Amortization&amp;Depreciation'!L35</f>
        <v>0</v>
      </c>
      <c r="M31" s="296" t="n">
        <f aca="false">'Amortization&amp;Depreciation'!M35</f>
        <v>0</v>
      </c>
      <c r="N31" s="296" t="n">
        <f aca="false">'Amortization&amp;Depreciation'!N35</f>
        <v>0</v>
      </c>
      <c r="O31" s="117" t="n">
        <f aca="false">SUM(C31:N31)</f>
        <v>0</v>
      </c>
      <c r="R31" s="0"/>
    </row>
    <row r="32" customFormat="false" ht="13.8" hidden="false" customHeight="false" outlineLevel="0" collapsed="false">
      <c r="B32" s="297" t="str">
        <f aca="false">'1-StartingPoint'!B39</f>
        <v>Credit Card Debt</v>
      </c>
      <c r="C32" s="296" t="n">
        <f aca="false">'Amortization&amp;Depreciation'!C55</f>
        <v>0</v>
      </c>
      <c r="D32" s="296" t="n">
        <f aca="false">'Amortization&amp;Depreciation'!D55</f>
        <v>0</v>
      </c>
      <c r="E32" s="296" t="n">
        <f aca="false">'Amortization&amp;Depreciation'!E55</f>
        <v>0</v>
      </c>
      <c r="F32" s="296" t="n">
        <f aca="false">'Amortization&amp;Depreciation'!F55</f>
        <v>0</v>
      </c>
      <c r="G32" s="296" t="n">
        <f aca="false">'Amortization&amp;Depreciation'!G55</f>
        <v>0</v>
      </c>
      <c r="H32" s="296" t="n">
        <f aca="false">'Amortization&amp;Depreciation'!H55</f>
        <v>0</v>
      </c>
      <c r="I32" s="296" t="n">
        <f aca="false">'Amortization&amp;Depreciation'!I55</f>
        <v>0</v>
      </c>
      <c r="J32" s="296" t="n">
        <f aca="false">'Amortization&amp;Depreciation'!J55</f>
        <v>0</v>
      </c>
      <c r="K32" s="296" t="n">
        <f aca="false">'Amortization&amp;Depreciation'!K55</f>
        <v>0</v>
      </c>
      <c r="L32" s="296" t="n">
        <f aca="false">'Amortization&amp;Depreciation'!L55</f>
        <v>0</v>
      </c>
      <c r="M32" s="296" t="n">
        <f aca="false">'Amortization&amp;Depreciation'!M55</f>
        <v>0</v>
      </c>
      <c r="N32" s="296" t="n">
        <f aca="false">'Amortization&amp;Depreciation'!N55</f>
        <v>0</v>
      </c>
      <c r="O32" s="117" t="n">
        <f aca="false">SUM(C32:N32)</f>
        <v>0</v>
      </c>
      <c r="R32" s="0"/>
    </row>
    <row r="33" customFormat="false" ht="13.8" hidden="false" customHeight="false" outlineLevel="0" collapsed="false">
      <c r="B33" s="297" t="str">
        <f aca="false">'1-StartingPoint'!B40</f>
        <v>Vehicle Loans</v>
      </c>
      <c r="C33" s="296" t="n">
        <f aca="false">'Amortization&amp;Depreciation'!C75</f>
        <v>0</v>
      </c>
      <c r="D33" s="296" t="n">
        <f aca="false">'Amortization&amp;Depreciation'!D75</f>
        <v>0</v>
      </c>
      <c r="E33" s="296" t="n">
        <f aca="false">'Amortization&amp;Depreciation'!E75</f>
        <v>0</v>
      </c>
      <c r="F33" s="296" t="n">
        <f aca="false">'Amortization&amp;Depreciation'!F75</f>
        <v>0</v>
      </c>
      <c r="G33" s="296" t="n">
        <f aca="false">'Amortization&amp;Depreciation'!G75</f>
        <v>0</v>
      </c>
      <c r="H33" s="296" t="n">
        <f aca="false">'Amortization&amp;Depreciation'!H75</f>
        <v>0</v>
      </c>
      <c r="I33" s="296" t="n">
        <f aca="false">'Amortization&amp;Depreciation'!I75</f>
        <v>0</v>
      </c>
      <c r="J33" s="296" t="n">
        <f aca="false">'Amortization&amp;Depreciation'!J75</f>
        <v>0</v>
      </c>
      <c r="K33" s="296" t="n">
        <f aca="false">'Amortization&amp;Depreciation'!K75</f>
        <v>0</v>
      </c>
      <c r="L33" s="296" t="n">
        <f aca="false">'Amortization&amp;Depreciation'!L75</f>
        <v>0</v>
      </c>
      <c r="M33" s="296" t="n">
        <f aca="false">'Amortization&amp;Depreciation'!M75</f>
        <v>0</v>
      </c>
      <c r="N33" s="296" t="n">
        <f aca="false">'Amortization&amp;Depreciation'!N75</f>
        <v>0</v>
      </c>
      <c r="O33" s="117" t="n">
        <f aca="false">SUM(C33:N33)</f>
        <v>0</v>
      </c>
      <c r="R33" s="0"/>
    </row>
    <row r="34" customFormat="false" ht="13.8" hidden="false" customHeight="false" outlineLevel="0" collapsed="false">
      <c r="B34" s="297" t="str">
        <f aca="false">'1-StartingPoint'!B41</f>
        <v>Other Bank Debt</v>
      </c>
      <c r="C34" s="296" t="n">
        <f aca="false">'Amortization&amp;Depreciation'!C95</f>
        <v>0</v>
      </c>
      <c r="D34" s="296" t="n">
        <f aca="false">'Amortization&amp;Depreciation'!D95</f>
        <v>0</v>
      </c>
      <c r="E34" s="296" t="n">
        <f aca="false">'Amortization&amp;Depreciation'!E95</f>
        <v>0</v>
      </c>
      <c r="F34" s="296" t="n">
        <f aca="false">'Amortization&amp;Depreciation'!F95</f>
        <v>0</v>
      </c>
      <c r="G34" s="296" t="n">
        <f aca="false">'Amortization&amp;Depreciation'!G95</f>
        <v>0</v>
      </c>
      <c r="H34" s="296" t="n">
        <f aca="false">'Amortization&amp;Depreciation'!H95</f>
        <v>0</v>
      </c>
      <c r="I34" s="296" t="n">
        <f aca="false">'Amortization&amp;Depreciation'!I95</f>
        <v>0</v>
      </c>
      <c r="J34" s="296" t="n">
        <f aca="false">'Amortization&amp;Depreciation'!J95</f>
        <v>0</v>
      </c>
      <c r="K34" s="296" t="n">
        <f aca="false">'Amortization&amp;Depreciation'!K95</f>
        <v>0</v>
      </c>
      <c r="L34" s="296" t="n">
        <f aca="false">'Amortization&amp;Depreciation'!L95</f>
        <v>0</v>
      </c>
      <c r="M34" s="296" t="n">
        <f aca="false">'Amortization&amp;Depreciation'!M95</f>
        <v>0</v>
      </c>
      <c r="N34" s="296" t="n">
        <f aca="false">'Amortization&amp;Depreciation'!N95</f>
        <v>0</v>
      </c>
      <c r="O34" s="117" t="n">
        <f aca="false">SUM(C34:N34)</f>
        <v>0</v>
      </c>
      <c r="R34" s="0"/>
    </row>
    <row r="35" customFormat="false" ht="13.8" hidden="false" customHeight="false" outlineLevel="0" collapsed="false">
      <c r="B35" s="297" t="s">
        <v>161</v>
      </c>
      <c r="C35" s="296" t="n">
        <f aca="false">'6a-CashFlowYear1'!C26</f>
        <v>0</v>
      </c>
      <c r="D35" s="296" t="n">
        <f aca="false">'6a-CashFlowYear1'!D26</f>
        <v>0</v>
      </c>
      <c r="E35" s="296" t="n">
        <f aca="false">'6a-CashFlowYear1'!E26</f>
        <v>0</v>
      </c>
      <c r="F35" s="296" t="n">
        <f aca="false">'6a-CashFlowYear1'!F26</f>
        <v>0</v>
      </c>
      <c r="G35" s="296" t="n">
        <f aca="false">'6a-CashFlowYear1'!G26</f>
        <v>0</v>
      </c>
      <c r="H35" s="296" t="n">
        <f aca="false">'6a-CashFlowYear1'!H26</f>
        <v>0</v>
      </c>
      <c r="I35" s="296" t="n">
        <f aca="false">'6a-CashFlowYear1'!I26</f>
        <v>0</v>
      </c>
      <c r="J35" s="296" t="n">
        <f aca="false">'6a-CashFlowYear1'!J26</f>
        <v>0</v>
      </c>
      <c r="K35" s="296" t="n">
        <f aca="false">'6a-CashFlowYear1'!K26</f>
        <v>0</v>
      </c>
      <c r="L35" s="296" t="n">
        <f aca="false">'6a-CashFlowYear1'!L26</f>
        <v>0</v>
      </c>
      <c r="M35" s="296" t="n">
        <f aca="false">'6a-CashFlowYear1'!M26</f>
        <v>0</v>
      </c>
      <c r="N35" s="296" t="n">
        <f aca="false">'6a-CashFlowYear1'!N26</f>
        <v>0</v>
      </c>
      <c r="O35" s="117" t="n">
        <f aca="false">SUM(C35:N35)</f>
        <v>0</v>
      </c>
      <c r="R35" s="0"/>
    </row>
    <row r="36" customFormat="false" ht="13.8" hidden="false" customHeight="false" outlineLevel="0" collapsed="false">
      <c r="B36" s="295" t="s">
        <v>162</v>
      </c>
      <c r="C36" s="296" t="n">
        <f aca="false">+'7a-IncomeStatementYear1'!C56</f>
        <v>0</v>
      </c>
      <c r="D36" s="296" t="n">
        <f aca="false">+'7a-IncomeStatementYear1'!D56</f>
        <v>0</v>
      </c>
      <c r="E36" s="296" t="n">
        <f aca="false">+'7a-IncomeStatementYear1'!E56</f>
        <v>0</v>
      </c>
      <c r="F36" s="296" t="n">
        <f aca="false">+'7a-IncomeStatementYear1'!F56</f>
        <v>0</v>
      </c>
      <c r="G36" s="296" t="n">
        <f aca="false">+'7a-IncomeStatementYear1'!G56</f>
        <v>0</v>
      </c>
      <c r="H36" s="296" t="n">
        <f aca="false">+'7a-IncomeStatementYear1'!H56</f>
        <v>0</v>
      </c>
      <c r="I36" s="296" t="n">
        <f aca="false">+'7a-IncomeStatementYear1'!I56</f>
        <v>0</v>
      </c>
      <c r="J36" s="296" t="n">
        <f aca="false">+'7a-IncomeStatementYear1'!J56</f>
        <v>0</v>
      </c>
      <c r="K36" s="296" t="n">
        <f aca="false">+'7a-IncomeStatementYear1'!K56</f>
        <v>0</v>
      </c>
      <c r="L36" s="296" t="n">
        <f aca="false">+'7a-IncomeStatementYear1'!L56</f>
        <v>0</v>
      </c>
      <c r="M36" s="296" t="n">
        <f aca="false">+'7a-IncomeStatementYear1'!M56</f>
        <v>0</v>
      </c>
      <c r="N36" s="296" t="n">
        <f aca="false">+'7a-IncomeStatementYear1'!N56</f>
        <v>0</v>
      </c>
      <c r="O36" s="117" t="n">
        <f aca="false">SUM(C36:N36)</f>
        <v>0</v>
      </c>
      <c r="R36" s="0"/>
    </row>
    <row r="37" customFormat="false" ht="13.8" hidden="false" customHeight="false" outlineLevel="0" collapsed="false">
      <c r="B37" s="298" t="s">
        <v>163</v>
      </c>
      <c r="C37" s="299" t="n">
        <f aca="false">SUM(C28:C36)</f>
        <v>0</v>
      </c>
      <c r="D37" s="299" t="n">
        <f aca="false">SUM(D28:D36)</f>
        <v>0</v>
      </c>
      <c r="E37" s="299" t="n">
        <f aca="false">SUM(E28:E36)</f>
        <v>0</v>
      </c>
      <c r="F37" s="299" t="n">
        <f aca="false">SUM(F28:F36)</f>
        <v>0</v>
      </c>
      <c r="G37" s="299" t="n">
        <f aca="false">SUM(G28:G36)</f>
        <v>0</v>
      </c>
      <c r="H37" s="299" t="n">
        <f aca="false">SUM(H28:H36)</f>
        <v>0</v>
      </c>
      <c r="I37" s="299" t="n">
        <f aca="false">SUM(I28:I36)</f>
        <v>0</v>
      </c>
      <c r="J37" s="299" t="n">
        <f aca="false">SUM(J28:J36)</f>
        <v>0</v>
      </c>
      <c r="K37" s="299" t="n">
        <f aca="false">SUM(K28:K36)</f>
        <v>0</v>
      </c>
      <c r="L37" s="299" t="n">
        <f aca="false">SUM(L28:L36)</f>
        <v>0</v>
      </c>
      <c r="M37" s="299" t="n">
        <f aca="false">SUM(M28:M36)</f>
        <v>0</v>
      </c>
      <c r="N37" s="299" t="n">
        <f aca="false">SUM(N28:N36)</f>
        <v>0</v>
      </c>
      <c r="O37" s="117" t="n">
        <f aca="false">SUM(C37:N37)</f>
        <v>0</v>
      </c>
      <c r="R37" s="0"/>
    </row>
    <row r="38" customFormat="false" ht="13.8" hidden="false" customHeight="false" outlineLevel="0" collapsed="false">
      <c r="B38" s="113" t="s">
        <v>164</v>
      </c>
      <c r="C38" s="140" t="n">
        <f aca="false">C25+C37</f>
        <v>0</v>
      </c>
      <c r="D38" s="140" t="n">
        <f aca="false">D25+D37</f>
        <v>0</v>
      </c>
      <c r="E38" s="140" t="n">
        <f aca="false">E25+E37</f>
        <v>0</v>
      </c>
      <c r="F38" s="140" t="n">
        <f aca="false">F25+F37</f>
        <v>0</v>
      </c>
      <c r="G38" s="140" t="n">
        <f aca="false">G25+G37</f>
        <v>0</v>
      </c>
      <c r="H38" s="140" t="n">
        <f aca="false">H25+H37</f>
        <v>0</v>
      </c>
      <c r="I38" s="140" t="n">
        <f aca="false">I25+I37</f>
        <v>0</v>
      </c>
      <c r="J38" s="140" t="n">
        <f aca="false">J25+J37</f>
        <v>0</v>
      </c>
      <c r="K38" s="140" t="n">
        <f aca="false">K25+K37</f>
        <v>0</v>
      </c>
      <c r="L38" s="140" t="n">
        <f aca="false">L25+L37</f>
        <v>0</v>
      </c>
      <c r="M38" s="140" t="n">
        <f aca="false">M25+M37</f>
        <v>0</v>
      </c>
      <c r="N38" s="140" t="n">
        <f aca="false">N25+N37</f>
        <v>0</v>
      </c>
      <c r="O38" s="140" t="n">
        <f aca="false">SUM(C38:N38)</f>
        <v>0</v>
      </c>
      <c r="R38" s="300"/>
    </row>
  </sheetData>
  <sheetProtection sheet="true" password="cc3d" objects="true" scenarios="true" formatColumns="false" formatRows="false"/>
  <mergeCells count="2">
    <mergeCell ref="C4:D4"/>
    <mergeCell ref="D7:O7"/>
  </mergeCells>
  <conditionalFormatting sqref="C10:N24">
    <cfRule type="expression" priority="2" aboveAverage="0" equalAverage="0" bottom="0" percent="0" rank="0" text="" dxfId="0">
      <formula>LEN(TRIM(C10))=0</formula>
    </cfRule>
  </conditionalFormatting>
  <printOptions headings="false" gridLines="false" gridLinesSet="true" horizontalCentered="fals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1:36"/>
  <sheetViews>
    <sheetView windowProtection="false" showFormulas="false" showGridLines="true" showRowColHeaders="true" showZeros="true" rightToLeft="false" tabSelected="false" showOutlineSymbols="true" defaultGridColor="true" view="normal" topLeftCell="A19" colorId="64" zoomScale="80" zoomScaleNormal="80" zoomScalePageLayoutView="100" workbookViewId="0">
      <selection pane="topLeft" activeCell="B28" activeCellId="0" sqref="B28"/>
    </sheetView>
  </sheetViews>
  <sheetFormatPr defaultRowHeight="13.8"/>
  <cols>
    <col collapsed="false" hidden="false" max="1" min="1" style="95" width="6.88259109311741"/>
    <col collapsed="false" hidden="false" max="2" min="2" style="93" width="46.6599190283401"/>
    <col collapsed="false" hidden="false" max="3" min="3" style="93" width="15.6599190283401"/>
    <col collapsed="false" hidden="false" max="4" min="4" style="93" width="19.004048582996"/>
    <col collapsed="false" hidden="false" max="5" min="5" style="93" width="15.6599190283401"/>
    <col collapsed="false" hidden="false" max="6" min="6" style="93" width="19.331983805668"/>
    <col collapsed="false" hidden="false" max="7" min="7" style="93" width="15.6599190283401"/>
    <col collapsed="false" hidden="false" max="8" min="8" style="93" width="5.33603238866397"/>
    <col collapsed="false" hidden="false" max="1025" min="9" style="93" width="8.88259109311741"/>
  </cols>
  <sheetData>
    <row r="1" s="95" customFormat="true" ht="13.8" hidden="false" customHeight="false" outlineLevel="0" collapsed="false"/>
    <row r="2" customFormat="false" ht="17.25" hidden="false" customHeight="true" outlineLevel="0" collapsed="false">
      <c r="A2" s="0"/>
      <c r="B2" s="164" t="s">
        <v>165</v>
      </c>
      <c r="C2" s="164"/>
      <c r="D2" s="95"/>
      <c r="E2" s="95"/>
      <c r="F2" s="239"/>
      <c r="G2" s="239"/>
      <c r="H2" s="95"/>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8" hidden="false" customHeight="true" outlineLevel="0" collapsed="false">
      <c r="A3" s="0"/>
      <c r="B3" s="301"/>
      <c r="C3" s="301"/>
      <c r="D3" s="95"/>
      <c r="E3" s="95"/>
      <c r="F3" s="239"/>
      <c r="G3" s="239"/>
      <c r="H3" s="95"/>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18" hidden="false" customHeight="true" outlineLevel="0" collapsed="false">
      <c r="A4" s="0"/>
      <c r="B4" s="240" t="s">
        <v>8</v>
      </c>
      <c r="C4" s="240" t="s">
        <v>9</v>
      </c>
      <c r="D4" s="302"/>
      <c r="E4" s="302"/>
      <c r="F4" s="302"/>
      <c r="G4" s="239"/>
      <c r="H4" s="95"/>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s="95" customFormat="true" ht="13.8" hidden="false" customHeight="false" outlineLevel="0" collapsed="false">
      <c r="B5" s="302" t="str">
        <f aca="false">IF(ISBLANK(Directions!C6), "Owner", Directions!C6)</f>
        <v>Owner</v>
      </c>
      <c r="C5" s="143" t="str">
        <f aca="false">IF(ISBLANK(Directions!D6), "Company 1", Directions!D6)</f>
        <v>Company 1</v>
      </c>
      <c r="D5" s="143"/>
      <c r="E5" s="143"/>
      <c r="F5" s="143"/>
      <c r="G5" s="303"/>
      <c r="I5" s="173"/>
      <c r="J5" s="173"/>
      <c r="K5" s="173"/>
      <c r="L5" s="173"/>
      <c r="M5" s="173"/>
    </row>
    <row r="6" s="95" customFormat="true" ht="13.8" hidden="false" customHeight="false" outlineLevel="0" collapsed="false">
      <c r="B6" s="0"/>
      <c r="C6" s="0"/>
      <c r="D6" s="0"/>
      <c r="E6" s="0"/>
      <c r="F6" s="0"/>
      <c r="G6" s="0"/>
      <c r="I6" s="173"/>
      <c r="J6" s="173"/>
      <c r="K6" s="173"/>
      <c r="L6" s="173"/>
      <c r="M6" s="173"/>
    </row>
    <row r="7" customFormat="false" ht="17.25" hidden="false" customHeight="true" outlineLevel="0" collapsed="false">
      <c r="B7" s="104" t="s">
        <v>166</v>
      </c>
      <c r="C7" s="104" t="str">
        <f aca="false">IF(Directions!F6&gt;0,Directions!F6,"First Year")</f>
        <v>First Year</v>
      </c>
      <c r="D7" s="104" t="s">
        <v>91</v>
      </c>
      <c r="E7" s="104" t="str">
        <f aca="false">IF(Directions!F6&gt;0,Directions!F6+1,"Second Year")</f>
        <v>Second Year</v>
      </c>
      <c r="F7" s="104" t="s">
        <v>92</v>
      </c>
      <c r="G7" s="104" t="str">
        <f aca="false">IF(Directions!F6&gt;0,Directions!F6+2,"Third Year")</f>
        <v>Third Year</v>
      </c>
      <c r="H7" s="95"/>
      <c r="I7" s="173"/>
      <c r="J7" s="173"/>
      <c r="K7" s="173"/>
      <c r="L7" s="173"/>
      <c r="M7" s="173"/>
    </row>
    <row r="8" customFormat="false" ht="14.4" hidden="false" customHeight="false" outlineLevel="0" collapsed="false">
      <c r="B8" s="304" t="str">
        <f aca="false">'5a-OpExYear1'!B10</f>
        <v>Advertising</v>
      </c>
      <c r="C8" s="149" t="n">
        <f aca="false">'5a-OpExYear1'!O10</f>
        <v>0</v>
      </c>
      <c r="D8" s="148" t="n">
        <v>0.03</v>
      </c>
      <c r="E8" s="149" t="n">
        <f aca="false">C8*(1+D8)</f>
        <v>0</v>
      </c>
      <c r="F8" s="148" t="n">
        <v>0.03</v>
      </c>
      <c r="G8" s="149" t="n">
        <f aca="false">E8*(1+F8)</f>
        <v>0</v>
      </c>
      <c r="H8" s="95"/>
      <c r="J8" s="0"/>
    </row>
    <row r="9" customFormat="false" ht="13.8" hidden="false" customHeight="false" outlineLevel="0" collapsed="false">
      <c r="B9" s="304" t="str">
        <f aca="false">'5a-OpExYear1'!B11</f>
        <v>Car and Truck Expenses</v>
      </c>
      <c r="C9" s="153" t="n">
        <f aca="false">'5a-OpExYear1'!O11</f>
        <v>0</v>
      </c>
      <c r="D9" s="152" t="n">
        <v>0.03</v>
      </c>
      <c r="E9" s="153" t="n">
        <f aca="false">C9*(1+D9)</f>
        <v>0</v>
      </c>
      <c r="F9" s="152" t="n">
        <v>0.03</v>
      </c>
      <c r="G9" s="153" t="n">
        <f aca="false">E9*(1+F9)</f>
        <v>0</v>
      </c>
      <c r="H9" s="95"/>
      <c r="J9" s="0"/>
    </row>
    <row r="10" customFormat="false" ht="13.8" hidden="false" customHeight="false" outlineLevel="0" collapsed="false">
      <c r="B10" s="304" t="str">
        <f aca="false">'5a-OpExYear1'!B12</f>
        <v>Commissions and Fees</v>
      </c>
      <c r="C10" s="153" t="n">
        <f aca="false">'5a-OpExYear1'!O12</f>
        <v>0</v>
      </c>
      <c r="D10" s="152" t="n">
        <v>0.05</v>
      </c>
      <c r="E10" s="153" t="n">
        <f aca="false">C10*(1+D10)</f>
        <v>0</v>
      </c>
      <c r="F10" s="152" t="n">
        <v>0.05</v>
      </c>
      <c r="G10" s="153" t="n">
        <f aca="false">E10*(1+F10)</f>
        <v>0</v>
      </c>
      <c r="H10" s="95"/>
      <c r="J10" s="0"/>
    </row>
    <row r="11" customFormat="false" ht="13.8" hidden="false" customHeight="false" outlineLevel="0" collapsed="false">
      <c r="B11" s="304" t="str">
        <f aca="false">'5a-OpExYear1'!B13</f>
        <v>Contract Labor (Not included in payroll)</v>
      </c>
      <c r="C11" s="153" t="n">
        <f aca="false">'5a-OpExYear1'!O13</f>
        <v>0</v>
      </c>
      <c r="D11" s="152" t="n">
        <v>0.03</v>
      </c>
      <c r="E11" s="153" t="n">
        <f aca="false">C11*(1+D11)</f>
        <v>0</v>
      </c>
      <c r="F11" s="152" t="n">
        <v>0.03</v>
      </c>
      <c r="G11" s="153" t="n">
        <f aca="false">E11*(1+F11)</f>
        <v>0</v>
      </c>
      <c r="H11" s="95"/>
      <c r="J11" s="0"/>
    </row>
    <row r="12" customFormat="false" ht="13.8" hidden="false" customHeight="false" outlineLevel="0" collapsed="false">
      <c r="B12" s="304" t="str">
        <f aca="false">'5a-OpExYear1'!B14</f>
        <v>Insurance (other than health)</v>
      </c>
      <c r="C12" s="153" t="n">
        <f aca="false">'5a-OpExYear1'!O14</f>
        <v>0</v>
      </c>
      <c r="D12" s="152" t="n">
        <v>0.03</v>
      </c>
      <c r="E12" s="153" t="n">
        <f aca="false">C12*(1+D12)</f>
        <v>0</v>
      </c>
      <c r="F12" s="152" t="n">
        <v>0.03</v>
      </c>
      <c r="G12" s="153" t="n">
        <f aca="false">E12*(1+F12)</f>
        <v>0</v>
      </c>
      <c r="H12" s="95"/>
      <c r="J12" s="0"/>
    </row>
    <row r="13" customFormat="false" ht="13.8" hidden="false" customHeight="false" outlineLevel="0" collapsed="false">
      <c r="B13" s="304" t="str">
        <f aca="false">'5a-OpExYear1'!B15</f>
        <v>Legal and Professional Services</v>
      </c>
      <c r="C13" s="153" t="n">
        <f aca="false">'5a-OpExYear1'!O15</f>
        <v>0</v>
      </c>
      <c r="D13" s="152" t="n">
        <v>0.03</v>
      </c>
      <c r="E13" s="153" t="n">
        <f aca="false">C13*(1+D13)</f>
        <v>0</v>
      </c>
      <c r="F13" s="152" t="n">
        <v>0.03</v>
      </c>
      <c r="G13" s="153" t="n">
        <f aca="false">E13*(1+F13)</f>
        <v>0</v>
      </c>
      <c r="H13" s="95"/>
      <c r="J13" s="0"/>
    </row>
    <row r="14" customFormat="false" ht="13.8" hidden="false" customHeight="false" outlineLevel="0" collapsed="false">
      <c r="B14" s="304" t="str">
        <f aca="false">'5a-OpExYear1'!B16</f>
        <v>Licenses</v>
      </c>
      <c r="C14" s="153" t="n">
        <f aca="false">'5a-OpExYear1'!O16</f>
        <v>0</v>
      </c>
      <c r="D14" s="152" t="n">
        <v>0.05</v>
      </c>
      <c r="E14" s="153" t="n">
        <f aca="false">C14*(1+D14)</f>
        <v>0</v>
      </c>
      <c r="F14" s="152" t="n">
        <v>0.05</v>
      </c>
      <c r="G14" s="153" t="n">
        <f aca="false">E14*(1+F14)</f>
        <v>0</v>
      </c>
      <c r="H14" s="95"/>
      <c r="J14" s="0"/>
    </row>
    <row r="15" customFormat="false" ht="13.8" hidden="false" customHeight="false" outlineLevel="0" collapsed="false">
      <c r="B15" s="304" t="str">
        <f aca="false">'5a-OpExYear1'!B17</f>
        <v>Office Expense</v>
      </c>
      <c r="C15" s="153" t="n">
        <f aca="false">'5a-OpExYear1'!O17</f>
        <v>0</v>
      </c>
      <c r="D15" s="152" t="n">
        <v>0.03</v>
      </c>
      <c r="E15" s="153" t="n">
        <f aca="false">C15*(1+D15)</f>
        <v>0</v>
      </c>
      <c r="F15" s="152" t="n">
        <v>0.03</v>
      </c>
      <c r="G15" s="153" t="n">
        <f aca="false">E15*(1+F15)</f>
        <v>0</v>
      </c>
      <c r="H15" s="95"/>
      <c r="J15" s="0"/>
    </row>
    <row r="16" customFormat="false" ht="13.8" hidden="false" customHeight="false" outlineLevel="0" collapsed="false">
      <c r="B16" s="304" t="str">
        <f aca="false">'5a-OpExYear1'!B18</f>
        <v>Rent or Lease -- Vehicles, Machinery, Equipment</v>
      </c>
      <c r="C16" s="153" t="n">
        <f aca="false">'5a-OpExYear1'!O18</f>
        <v>0</v>
      </c>
      <c r="D16" s="152" t="n">
        <v>0.03</v>
      </c>
      <c r="E16" s="153" t="n">
        <f aca="false">C16*(1+D16)</f>
        <v>0</v>
      </c>
      <c r="F16" s="152" t="n">
        <v>0.03</v>
      </c>
      <c r="G16" s="153" t="n">
        <f aca="false">E16*(1+F16)</f>
        <v>0</v>
      </c>
      <c r="H16" s="95"/>
      <c r="J16" s="0"/>
    </row>
    <row r="17" customFormat="false" ht="13.8" hidden="false" customHeight="false" outlineLevel="0" collapsed="false">
      <c r="B17" s="304" t="str">
        <f aca="false">'5a-OpExYear1'!B19</f>
        <v>Rent or Lease -- Other Business Property</v>
      </c>
      <c r="C17" s="153" t="n">
        <f aca="false">'5a-OpExYear1'!O19</f>
        <v>0</v>
      </c>
      <c r="D17" s="152" t="n">
        <v>0.03</v>
      </c>
      <c r="E17" s="153" t="n">
        <f aca="false">C17*(1+D17)</f>
        <v>0</v>
      </c>
      <c r="F17" s="152" t="n">
        <v>0.03</v>
      </c>
      <c r="G17" s="153" t="n">
        <f aca="false">E17*(1+F17)</f>
        <v>0</v>
      </c>
      <c r="H17" s="95"/>
      <c r="J17" s="0"/>
    </row>
    <row r="18" customFormat="false" ht="13.8" hidden="false" customHeight="false" outlineLevel="0" collapsed="false">
      <c r="B18" s="304" t="str">
        <f aca="false">'5a-OpExYear1'!B20</f>
        <v>Repairs and Maintenance</v>
      </c>
      <c r="C18" s="153" t="n">
        <f aca="false">'5a-OpExYear1'!O20</f>
        <v>0</v>
      </c>
      <c r="D18" s="152" t="n">
        <v>0.05</v>
      </c>
      <c r="E18" s="153" t="n">
        <f aca="false">C18*(1+D18)</f>
        <v>0</v>
      </c>
      <c r="F18" s="152" t="n">
        <v>0.05</v>
      </c>
      <c r="G18" s="153" t="n">
        <f aca="false">E18*(1+F18)</f>
        <v>0</v>
      </c>
      <c r="H18" s="95"/>
      <c r="J18" s="0"/>
    </row>
    <row r="19" customFormat="false" ht="13.8" hidden="false" customHeight="false" outlineLevel="0" collapsed="false">
      <c r="B19" s="304" t="str">
        <f aca="false">'5a-OpExYear1'!B21</f>
        <v>Supplies</v>
      </c>
      <c r="C19" s="153" t="n">
        <f aca="false">'5a-OpExYear1'!O21</f>
        <v>0</v>
      </c>
      <c r="D19" s="152" t="n">
        <v>0.03</v>
      </c>
      <c r="E19" s="153" t="n">
        <f aca="false">C19*(1+D19)</f>
        <v>0</v>
      </c>
      <c r="F19" s="152" t="n">
        <v>0.03</v>
      </c>
      <c r="G19" s="153" t="n">
        <f aca="false">E19*(1+F19)</f>
        <v>0</v>
      </c>
      <c r="H19" s="95"/>
      <c r="J19" s="0"/>
    </row>
    <row r="20" customFormat="false" ht="13.8" hidden="false" customHeight="false" outlineLevel="0" collapsed="false">
      <c r="B20" s="304" t="str">
        <f aca="false">'5a-OpExYear1'!B22</f>
        <v>Travel, Meals and Entertainment</v>
      </c>
      <c r="C20" s="153" t="n">
        <f aca="false">'5a-OpExYear1'!O22</f>
        <v>0</v>
      </c>
      <c r="D20" s="152" t="n">
        <v>0.03</v>
      </c>
      <c r="E20" s="153" t="n">
        <f aca="false">C20*(1+D20)</f>
        <v>0</v>
      </c>
      <c r="F20" s="152" t="n">
        <v>0.03</v>
      </c>
      <c r="G20" s="153" t="n">
        <f aca="false">E20*(1+F20)</f>
        <v>0</v>
      </c>
      <c r="H20" s="95"/>
      <c r="J20" s="0"/>
    </row>
    <row r="21" customFormat="false" ht="13.8" hidden="false" customHeight="false" outlineLevel="0" collapsed="false">
      <c r="B21" s="304" t="str">
        <f aca="false">'5a-OpExYear1'!B23</f>
        <v>Utilities</v>
      </c>
      <c r="C21" s="153" t="n">
        <f aca="false">'5a-OpExYear1'!O23</f>
        <v>0</v>
      </c>
      <c r="D21" s="152" t="n">
        <v>0.03</v>
      </c>
      <c r="E21" s="153" t="n">
        <f aca="false">C21*(1+D21)</f>
        <v>0</v>
      </c>
      <c r="F21" s="152" t="n">
        <v>0.03</v>
      </c>
      <c r="G21" s="153" t="n">
        <f aca="false">E21*(1+F21)</f>
        <v>0</v>
      </c>
      <c r="H21" s="95"/>
      <c r="J21" s="0"/>
    </row>
    <row r="22" customFormat="false" ht="13.8" hidden="false" customHeight="false" outlineLevel="0" collapsed="false">
      <c r="B22" s="304" t="str">
        <f aca="false">'5a-OpExYear1'!B24</f>
        <v>Miscellaneous </v>
      </c>
      <c r="C22" s="153" t="n">
        <f aca="false">'5a-OpExYear1'!O24</f>
        <v>0</v>
      </c>
      <c r="D22" s="152" t="n">
        <v>0.03</v>
      </c>
      <c r="E22" s="153" t="n">
        <f aca="false">C22*(1+D22)</f>
        <v>0</v>
      </c>
      <c r="F22" s="152" t="n">
        <v>0.03</v>
      </c>
      <c r="G22" s="153" t="n">
        <f aca="false">E22*(1+F22)</f>
        <v>0</v>
      </c>
      <c r="H22" s="95"/>
      <c r="J22" s="0"/>
    </row>
    <row r="23" customFormat="false" ht="13.8" hidden="false" customHeight="false" outlineLevel="0" collapsed="false">
      <c r="B23" s="305" t="s">
        <v>157</v>
      </c>
      <c r="C23" s="156" t="n">
        <f aca="false">SUM(C8:C22)</f>
        <v>0</v>
      </c>
      <c r="D23" s="152"/>
      <c r="E23" s="156" t="n">
        <f aca="false">SUM(E8:E22)</f>
        <v>0</v>
      </c>
      <c r="F23" s="152"/>
      <c r="G23" s="156" t="n">
        <f aca="false">SUM(G8:G22)</f>
        <v>0</v>
      </c>
      <c r="H23" s="95"/>
      <c r="J23" s="0"/>
    </row>
    <row r="24" customFormat="false" ht="13.8" hidden="false" customHeight="false" outlineLevel="0" collapsed="false">
      <c r="B24" s="289"/>
      <c r="C24" s="153"/>
      <c r="D24" s="155"/>
      <c r="E24" s="153"/>
      <c r="F24" s="155"/>
      <c r="G24" s="153"/>
      <c r="H24" s="95"/>
      <c r="J24" s="0"/>
    </row>
    <row r="25" customFormat="false" ht="13.8" hidden="false" customHeight="false" outlineLevel="0" collapsed="false">
      <c r="B25" s="294" t="s">
        <v>158</v>
      </c>
      <c r="C25" s="153"/>
      <c r="D25" s="155"/>
      <c r="E25" s="153"/>
      <c r="F25" s="155"/>
      <c r="G25" s="153"/>
      <c r="H25" s="95"/>
      <c r="J25" s="0"/>
    </row>
    <row r="26" customFormat="false" ht="13.8" hidden="false" customHeight="false" outlineLevel="0" collapsed="false">
      <c r="B26" s="295" t="s">
        <v>159</v>
      </c>
      <c r="C26" s="306" t="n">
        <f aca="false">'5a-OpExYear1'!O28</f>
        <v>0</v>
      </c>
      <c r="D26" s="307"/>
      <c r="E26" s="153" t="n">
        <f aca="false">'Amortization&amp;Depreciation'!O123</f>
        <v>0</v>
      </c>
      <c r="F26" s="307"/>
      <c r="G26" s="153" t="n">
        <f aca="false">'Amortization&amp;Depreciation'!O127</f>
        <v>0</v>
      </c>
      <c r="H26" s="95"/>
      <c r="J26" s="0"/>
    </row>
    <row r="27" customFormat="false" ht="13.8" hidden="false" customHeight="false" outlineLevel="0" collapsed="false">
      <c r="B27" s="295" t="s">
        <v>160</v>
      </c>
      <c r="C27" s="308"/>
      <c r="D27" s="307"/>
      <c r="E27" s="153"/>
      <c r="F27" s="307"/>
      <c r="G27" s="153"/>
      <c r="H27" s="95"/>
      <c r="J27" s="0"/>
    </row>
    <row r="28" customFormat="false" ht="13.8" hidden="false" customHeight="false" outlineLevel="0" collapsed="false">
      <c r="B28" s="297" t="str">
        <f aca="false">'1-StartingPoint'!B37</f>
        <v>Commercial Loan</v>
      </c>
      <c r="C28" s="296" t="n">
        <f aca="false">'5a-OpExYear1'!O30</f>
        <v>0</v>
      </c>
      <c r="D28" s="307"/>
      <c r="E28" s="153" t="n">
        <f aca="false">IF('1-StartingPoint'!$F37&lt;36, 0, 'Amortization&amp;Depreciation'!O19)</f>
        <v>0</v>
      </c>
      <c r="F28" s="307"/>
      <c r="G28" s="153" t="n">
        <f aca="false">IF('1-StartingPoint'!$F37&lt;36, 0, 'Amortization&amp;Depreciation'!O23)</f>
        <v>0</v>
      </c>
      <c r="H28" s="95"/>
      <c r="J28" s="0"/>
    </row>
    <row r="29" customFormat="false" ht="13.8" hidden="false" customHeight="false" outlineLevel="0" collapsed="false">
      <c r="B29" s="297" t="str">
        <f aca="false">'1-StartingPoint'!B38</f>
        <v>Commercial Mortgage</v>
      </c>
      <c r="C29" s="296" t="n">
        <f aca="false">'5a-OpExYear1'!O31</f>
        <v>0</v>
      </c>
      <c r="D29" s="307"/>
      <c r="E29" s="153" t="n">
        <f aca="false">IF('1-StartingPoint'!$F38&lt;36, 0, 'Amortization&amp;Depreciation'!O39)</f>
        <v>0</v>
      </c>
      <c r="F29" s="307"/>
      <c r="G29" s="153" t="n">
        <f aca="false">IF('1-StartingPoint'!$F38&lt;36, 0, 'Amortization&amp;Depreciation'!O43)</f>
        <v>0</v>
      </c>
      <c r="J29" s="0"/>
    </row>
    <row r="30" customFormat="false" ht="13.8" hidden="false" customHeight="false" outlineLevel="0" collapsed="false">
      <c r="B30" s="297" t="str">
        <f aca="false">'1-StartingPoint'!B39</f>
        <v>Credit Card Debt</v>
      </c>
      <c r="C30" s="296" t="n">
        <f aca="false">'5a-OpExYear1'!O32</f>
        <v>0</v>
      </c>
      <c r="D30" s="307"/>
      <c r="E30" s="153" t="n">
        <f aca="false">IF('1-StartingPoint'!$F39&lt;36, 0, 'Amortization&amp;Depreciation'!O59)</f>
        <v>0</v>
      </c>
      <c r="F30" s="307"/>
      <c r="G30" s="153" t="n">
        <f aca="false">IF('1-StartingPoint'!$F39&lt;36, 0, 'Amortization&amp;Depreciation'!O63)</f>
        <v>0</v>
      </c>
      <c r="J30" s="0"/>
    </row>
    <row r="31" customFormat="false" ht="13.8" hidden="false" customHeight="false" outlineLevel="0" collapsed="false">
      <c r="B31" s="297" t="str">
        <f aca="false">'1-StartingPoint'!B40</f>
        <v>Vehicle Loans</v>
      </c>
      <c r="C31" s="296" t="n">
        <f aca="false">'5a-OpExYear1'!O33</f>
        <v>0</v>
      </c>
      <c r="D31" s="307"/>
      <c r="E31" s="153" t="n">
        <f aca="false">IF('1-StartingPoint'!$F40&lt;36, 0, 'Amortization&amp;Depreciation'!O79)</f>
        <v>0</v>
      </c>
      <c r="F31" s="307"/>
      <c r="G31" s="153" t="n">
        <f aca="false">IF('1-StartingPoint'!$F40&lt;36, 0, 'Amortization&amp;Depreciation'!O83)</f>
        <v>0</v>
      </c>
      <c r="J31" s="0"/>
    </row>
    <row r="32" customFormat="false" ht="13.8" hidden="false" customHeight="false" outlineLevel="0" collapsed="false">
      <c r="B32" s="297" t="str">
        <f aca="false">'1-StartingPoint'!B41</f>
        <v>Other Bank Debt</v>
      </c>
      <c r="C32" s="296" t="n">
        <f aca="false">'5a-OpExYear1'!O34</f>
        <v>0</v>
      </c>
      <c r="D32" s="307"/>
      <c r="E32" s="153" t="n">
        <f aca="false">IF('1-StartingPoint'!$F41&lt;36, 0, 'Amortization&amp;Depreciation'!O99)</f>
        <v>0</v>
      </c>
      <c r="F32" s="307"/>
      <c r="G32" s="153" t="n">
        <f aca="false">IF('1-StartingPoint'!$F41&lt;36, 0, 'Amortization&amp;Depreciation'!O103)</f>
        <v>0</v>
      </c>
      <c r="J32" s="309"/>
    </row>
    <row r="33" customFormat="false" ht="13.8" hidden="false" customHeight="false" outlineLevel="0" collapsed="false">
      <c r="B33" s="297" t="s">
        <v>161</v>
      </c>
      <c r="C33" s="296" t="n">
        <f aca="false">+'6a-CashFlowYear1'!O26</f>
        <v>0</v>
      </c>
      <c r="D33" s="307"/>
      <c r="E33" s="149" t="n">
        <f aca="false">+'6b-CashFlowYrs1-3'!O25</f>
        <v>0</v>
      </c>
      <c r="F33" s="307"/>
      <c r="G33" s="310" t="n">
        <f aca="false">'6b-CashFlowYrs1-3'!AB25</f>
        <v>0</v>
      </c>
    </row>
    <row r="34" customFormat="false" ht="13.8" hidden="false" customHeight="false" outlineLevel="0" collapsed="false">
      <c r="B34" s="295" t="s">
        <v>162</v>
      </c>
      <c r="C34" s="311" t="n">
        <f aca="false">+'5a-OpExYear1'!O36</f>
        <v>0</v>
      </c>
      <c r="D34" s="307"/>
      <c r="E34" s="149"/>
      <c r="F34" s="307"/>
      <c r="G34" s="149"/>
    </row>
    <row r="35" customFormat="false" ht="13.8" hidden="false" customHeight="false" outlineLevel="0" collapsed="false">
      <c r="B35" s="312" t="s">
        <v>163</v>
      </c>
      <c r="C35" s="313" t="n">
        <f aca="false">SUM(C26:C34)</f>
        <v>0</v>
      </c>
      <c r="D35" s="307"/>
      <c r="E35" s="314" t="n">
        <f aca="false">SUM(E26:E34)</f>
        <v>0</v>
      </c>
      <c r="F35" s="307"/>
      <c r="G35" s="314" t="n">
        <f aca="false">SUM(G26:G34)</f>
        <v>0</v>
      </c>
    </row>
    <row r="36" customFormat="false" ht="13.8" hidden="false" customHeight="false" outlineLevel="0" collapsed="false">
      <c r="B36" s="120" t="s">
        <v>167</v>
      </c>
      <c r="C36" s="315" t="n">
        <f aca="false">SUM(C8:C22)+C35</f>
        <v>0</v>
      </c>
      <c r="D36" s="113"/>
      <c r="E36" s="315" t="n">
        <f aca="false">SUM(E8:E22)+E35</f>
        <v>0</v>
      </c>
      <c r="F36" s="113"/>
      <c r="G36" s="315" t="n">
        <f aca="false">SUM(G8:G22)+G35</f>
        <v>0</v>
      </c>
    </row>
  </sheetData>
  <sheetProtection sheet="true" password="cc3d" objects="true" scenarios="true" formatColumns="false" formatRows="false"/>
  <mergeCells count="2">
    <mergeCell ref="B2:C2"/>
    <mergeCell ref="C5:F5"/>
  </mergeCells>
  <conditionalFormatting sqref="E26,G26">
    <cfRule type="expression" priority="2" aboveAverage="0" equalAverage="0" bottom="0" percent="0" rank="0" text="" dxfId="0">
      <formula>LEN(TRIM(E26))=0</formula>
    </cfRule>
  </conditionalFormatting>
  <printOptions headings="false" gridLines="false" gridLinesSet="true" horizontalCentered="true" verticalCentered="false"/>
  <pageMargins left="0.25" right="0.25" top="0.75" bottom="0.75" header="0.3" footer="0.3"/>
  <pageSetup paperSize="1"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2011-04-16T18:04:50Z</dcterms:created>
  <dc:creator>Heather Hendy</dc:creator>
  <dc:description>This SCORE Workbook is designed to help start-up companies make financial projections that will allow them to make a "go-no go" decision about starting a new company.</dc:description>
  <cp:keywords>business start-up financial forecast</cp:keywords>
  <dc:language>en-IN</dc:language>
  <cp:lastModifiedBy>Candice Stennett</cp:lastModifiedBy>
  <cp:lastPrinted>2015-12-01T19:10:08Z</cp:lastPrinted>
  <dcterms:modified xsi:type="dcterms:W3CDTF">2015-12-01T19:10:40Z</dcterms:modified>
  <cp:revision>0</cp:revision>
  <dc:subject>Business start-up financial forecast</dc:subject>
  <dc:title>Simple Steps for Starting Your Business</dc:title>
</cp:coreProperties>
</file>