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638" activeTab="1"/>
  </bookViews>
  <sheets>
    <sheet name="1. Instructions" sheetId="1" r:id="rId1"/>
    <sheet name="2. Proposed Budget" sheetId="2" r:id="rId2"/>
    <sheet name="3. Wages and Benefits" sheetId="3" r:id="rId3"/>
    <sheet name="4. All Dept summary" sheetId="4" r:id="rId4"/>
    <sheet name="5. All Dept no detail" sheetId="5" r:id="rId5"/>
    <sheet name="6. All Dept Chart" sheetId="6" r:id="rId6"/>
    <sheet name="7. GF Dept summary" sheetId="7" r:id="rId7"/>
    <sheet name="8. GF Dept no detail" sheetId="8" r:id="rId8"/>
  </sheets>
  <definedNames>
    <definedName name="_xlnm.Print_Area" localSheetId="1">'2. Proposed Budget'!$B$2:$K$174</definedName>
    <definedName name="_xlnm.Print_Titles" localSheetId="1">'2. Proposed Budget'!$3:$7</definedName>
    <definedName name="_xlnm.Print_Titles" localSheetId="2">('3. Wages and Benefits'!$A:$A,'3. Wages and Benefits'!$5:$7)</definedName>
    <definedName name="_xlnm.Print_Titles" localSheetId="3">'4. All Dept summary'!$2:$3</definedName>
    <definedName name="_xlnm.Print_Titles" localSheetId="4">'5. All Dept no detail'!$2:$3</definedName>
    <definedName name="_xlnm.Print_Titles" localSheetId="6">'7. GF Dept summary'!$2:$3</definedName>
    <definedName name="_xlnm.Print_Titles" localSheetId="7">'8. GF Dept no detail'!$2:$3</definedName>
    <definedName name="Excel_BuiltIn_Print_Titles" localSheetId="1">'2. Proposed Budget'!$B$2:$A$6</definedName>
  </definedNames>
  <calcPr fullCalcOnLoad="1"/>
</workbook>
</file>

<file path=xl/sharedStrings.xml><?xml version="1.0" encoding="utf-8"?>
<sst xmlns="http://schemas.openxmlformats.org/spreadsheetml/2006/main" count="332" uniqueCount="268">
  <si>
    <t>Budget Template Instructions</t>
  </si>
  <si>
    <t xml:space="preserve">This budget template file is designed to provide you with a form to develop and present your church's annual budget.  The format includes space to present the prior year's budget as well, for comparative analysis purposes.  It is generally easy to modify, if you are somewhat familiar with Microsoft Excel.  </t>
  </si>
  <si>
    <t>This budget template file contains eight worksheets (tabs are at the bottom of this window):</t>
  </si>
  <si>
    <t xml:space="preserve">1. Instructions sheet - which you are currently reading.  </t>
  </si>
  <si>
    <r>
      <t xml:space="preserve">2. Proposed Budget sheet - Enter numbers only in the </t>
    </r>
    <r>
      <rPr>
        <sz val="10"/>
        <color indexed="14"/>
        <rFont val="Arial"/>
        <family val="2"/>
      </rPr>
      <t>PURPLE</t>
    </r>
    <r>
      <rPr>
        <sz val="10"/>
        <rFont val="Arial"/>
        <family val="2"/>
      </rPr>
      <t xml:space="preserve"> cells.  All non-purple numbers and text either do not need to be changed, or they contain formulas that derive their values from entires that you make in purple cells.  Current year budget amounts for Wages and Benefits should be entered in the "Wages and Benefits" sheet only.</t>
    </r>
  </si>
  <si>
    <r>
      <t xml:space="preserve">3. Wages and Benefits sheet - Enter numbers only in the </t>
    </r>
    <r>
      <rPr>
        <sz val="10"/>
        <color indexed="14"/>
        <rFont val="Arial"/>
        <family val="2"/>
      </rPr>
      <t>PURPLE</t>
    </r>
    <r>
      <rPr>
        <sz val="10"/>
        <rFont val="Arial"/>
        <family val="2"/>
      </rPr>
      <t xml:space="preserve"> cells.  All non-purple numbers and text either do not need to be changed, or they contain formulas that derive their values from entires that you make in purple cells.  Use this sheet for wage and benefit planning and calculation.  If you scroll right in this sheet, you will note that it is also used to allocate staff time to various program and administrative budget areas.  This sheet supplies numbers to the current year Wage and Benefit section of the Proposed Budget sheet.  </t>
    </r>
  </si>
  <si>
    <t>4. All Dept Summary - Summary report for all budget areas.</t>
  </si>
  <si>
    <t>5. All Dept No Detail - Summary report for all budget areas.</t>
  </si>
  <si>
    <t>6. All Dept Chart - Summary chart for all budget areas.</t>
  </si>
  <si>
    <t>7. GF Dept Summary - Summary report for General Fund budget areas.</t>
  </si>
  <si>
    <t>8. GF Dept No Detail - Summary report for General Fund budget areas.</t>
  </si>
  <si>
    <t>The sheets are pre-formatted for printing.  Just select a sheet tab, then click the print icon on the top tool bar.</t>
  </si>
  <si>
    <t>Our Church</t>
  </si>
  <si>
    <t>2005 Proposed Budget</t>
  </si>
  <si>
    <r>
      <t xml:space="preserve">Revised </t>
    </r>
    <r>
      <rPr>
        <i/>
        <sz val="10"/>
        <color indexed="14"/>
        <rFont val="Arial"/>
        <family val="2"/>
      </rPr>
      <t>2/01/05</t>
    </r>
  </si>
  <si>
    <r>
      <t xml:space="preserve">% of </t>
    </r>
    <r>
      <rPr>
        <b/>
        <sz val="10"/>
        <color indexed="14"/>
        <rFont val="Arial"/>
        <family val="2"/>
      </rPr>
      <t>2005</t>
    </r>
  </si>
  <si>
    <t>Line#</t>
  </si>
  <si>
    <t>Account #</t>
  </si>
  <si>
    <t>Description</t>
  </si>
  <si>
    <t>12 Months</t>
  </si>
  <si>
    <t>This Year</t>
  </si>
  <si>
    <t>Last Year</t>
  </si>
  <si>
    <t>$ change</t>
  </si>
  <si>
    <t>% change</t>
  </si>
  <si>
    <t>GF total</t>
  </si>
  <si>
    <t>Grand Total</t>
  </si>
  <si>
    <t>Notes</t>
  </si>
  <si>
    <t>Questions</t>
  </si>
  <si>
    <t>Annualized</t>
  </si>
  <si>
    <t>Staff Wages &amp; Benefits</t>
  </si>
  <si>
    <t>Senior Pastor (includes SECA)</t>
  </si>
  <si>
    <t>Pastor 2 (includes SECA)</t>
  </si>
  <si>
    <t>Ministry Staff Wages</t>
  </si>
  <si>
    <t>Support Staff Wages</t>
  </si>
  <si>
    <t xml:space="preserve"> </t>
  </si>
  <si>
    <t xml:space="preserve">     Total Wages</t>
  </si>
  <si>
    <t>Staff Benefits</t>
  </si>
  <si>
    <t>Automobile Mileage Reimbursement</t>
  </si>
  <si>
    <t>Health Insurance</t>
  </si>
  <si>
    <t xml:space="preserve">Ministers Pension Fund </t>
  </si>
  <si>
    <t>Pastor/Staff Training</t>
  </si>
  <si>
    <t>Norm's sabbatical</t>
  </si>
  <si>
    <t>Payroll Taxes</t>
  </si>
  <si>
    <t>Workers Compensation</t>
  </si>
  <si>
    <t>403B Match</t>
  </si>
  <si>
    <t>Was16.00 last year</t>
  </si>
  <si>
    <t>Sabbatical Fund</t>
  </si>
  <si>
    <t xml:space="preserve">     Total Benefits</t>
  </si>
  <si>
    <t xml:space="preserve">  Total Staff Wages &amp; Benefits</t>
  </si>
  <si>
    <t>Worship/Music</t>
  </si>
  <si>
    <t>Audio/Visual/Equipment</t>
  </si>
  <si>
    <t>Drama Ministry</t>
  </si>
  <si>
    <t>Music License</t>
  </si>
  <si>
    <t>Musicians - Contract Labor</t>
  </si>
  <si>
    <t>Pulpit Supply</t>
  </si>
  <si>
    <t>Refreshments / Hospitality</t>
  </si>
  <si>
    <t>Rent - Worship/Music</t>
  </si>
  <si>
    <t>Special Music</t>
  </si>
  <si>
    <t>Supplies</t>
  </si>
  <si>
    <t>Training</t>
  </si>
  <si>
    <t xml:space="preserve">  Total Worship/Music</t>
  </si>
  <si>
    <t>Pastoral Care</t>
  </si>
  <si>
    <t>Assistance Program</t>
  </si>
  <si>
    <t>Did not train this year as planned</t>
  </si>
  <si>
    <t>Church Assistance Program</t>
  </si>
  <si>
    <t>225*8.00</t>
  </si>
  <si>
    <t>Encouragement Ministry</t>
  </si>
  <si>
    <t>Marriage Support</t>
  </si>
  <si>
    <t>Marriage Support / Counseling</t>
  </si>
  <si>
    <t>Prayer Ministry</t>
  </si>
  <si>
    <t>Marriage</t>
  </si>
  <si>
    <t>Stephen Ministry</t>
  </si>
  <si>
    <t>cards, etc.</t>
  </si>
  <si>
    <t>Training for greeters and assimilation</t>
  </si>
  <si>
    <t xml:space="preserve">  Total Pastoral Care</t>
  </si>
  <si>
    <t>Youth Ministries</t>
  </si>
  <si>
    <t>Cadets</t>
  </si>
  <si>
    <t>Children in Worship</t>
  </si>
  <si>
    <t>Church Education - Middle &amp; High School</t>
  </si>
  <si>
    <t>GEMS</t>
  </si>
  <si>
    <t>GEMS - Jr.</t>
  </si>
  <si>
    <t>Instructional Materials - Leadership</t>
  </si>
  <si>
    <t>Kingdom Kids</t>
  </si>
  <si>
    <t>Little Lambs</t>
  </si>
  <si>
    <t xml:space="preserve">Member Training </t>
  </si>
  <si>
    <t>Middle School</t>
  </si>
  <si>
    <t>Nurseries</t>
  </si>
  <si>
    <t>Profession of Faith / Mentoring</t>
  </si>
  <si>
    <t>Senior High</t>
  </si>
  <si>
    <t>Special Events</t>
  </si>
  <si>
    <t xml:space="preserve">Treasure Zone </t>
  </si>
  <si>
    <t>Vacation Bible School</t>
  </si>
  <si>
    <t xml:space="preserve">  Total Youth Ministries</t>
  </si>
  <si>
    <t>Adult Education</t>
  </si>
  <si>
    <t>College Ministry</t>
  </si>
  <si>
    <t>Curriculum, speakers, materials</t>
  </si>
  <si>
    <t>Library</t>
  </si>
  <si>
    <t>Other Adult Ministry</t>
  </si>
  <si>
    <t>Profession of Faith/Mentoring</t>
  </si>
  <si>
    <t>Singles Ministry</t>
  </si>
  <si>
    <t>Small Group Ministry</t>
  </si>
  <si>
    <t xml:space="preserve">Social Justice </t>
  </si>
  <si>
    <t>Spiritual Gift Assessment</t>
  </si>
  <si>
    <t>Spiritual Gift Awareness</t>
  </si>
  <si>
    <t>Stewardship</t>
  </si>
  <si>
    <t xml:space="preserve">  Total Adult Education</t>
  </si>
  <si>
    <t>Congregational Life</t>
  </si>
  <si>
    <t>Church Anniversary</t>
  </si>
  <si>
    <t>Picnic, etc..</t>
  </si>
  <si>
    <t>Church Picnic</t>
  </si>
  <si>
    <t>Fellowship Dinners</t>
  </si>
  <si>
    <t>Fellowship Supplies</t>
  </si>
  <si>
    <t>Miscellaneous</t>
  </si>
  <si>
    <t>Guest/New Member Enfolding</t>
  </si>
  <si>
    <t xml:space="preserve">  Total Congregational Life</t>
  </si>
  <si>
    <t>Evangelism</t>
  </si>
  <si>
    <t>Coffee Break/Story Hour</t>
  </si>
  <si>
    <t>Community Seek and Serve Projects</t>
  </si>
  <si>
    <t>1000 was General Operating last year</t>
  </si>
  <si>
    <t>Evang Team/Basic Discipleship (Alpha)</t>
  </si>
  <si>
    <t>Invitational materials</t>
  </si>
  <si>
    <t>Missions Promotion and Development</t>
  </si>
  <si>
    <t>Nativity Program</t>
  </si>
  <si>
    <t>New Move In Ministry</t>
  </si>
  <si>
    <t>Other Outreach Events/Seminars</t>
  </si>
  <si>
    <t>No convention this year</t>
  </si>
  <si>
    <t>Outreach / Advertising</t>
  </si>
  <si>
    <t>Outreach Events</t>
  </si>
  <si>
    <t>VBS Promotion and Followup</t>
  </si>
  <si>
    <t>Welcome/Hospitality Ministry</t>
  </si>
  <si>
    <t xml:space="preserve">  Total Evangelism</t>
  </si>
  <si>
    <t>Denominational Ministry</t>
  </si>
  <si>
    <t xml:space="preserve">Denominational Ministry Shares </t>
  </si>
  <si>
    <t xml:space="preserve"> &gt; Note: 2005 = $302.04 x 550 members</t>
  </si>
  <si>
    <t xml:space="preserve"> &gt; Note: 2004 = $298.32 x 510 members</t>
  </si>
  <si>
    <t xml:space="preserve">  Back to God Hour, CRC TV, Calvin College</t>
  </si>
  <si>
    <t xml:space="preserve">  Calvin Seminary, CRC Publications</t>
  </si>
  <si>
    <t xml:space="preserve">  Denominational Services; Fund for Smaller</t>
  </si>
  <si>
    <t xml:space="preserve">  Churches, Home Missions,</t>
  </si>
  <si>
    <t xml:space="preserve">  Pastoral Ministries, World Missions</t>
  </si>
  <si>
    <t xml:space="preserve">Classical Ministry Shares </t>
  </si>
  <si>
    <t xml:space="preserve"> &gt; Note: 2005 = $36.13 x 550 members</t>
  </si>
  <si>
    <t xml:space="preserve"> &gt; Note: 2004 = $35.67 x 510 members</t>
  </si>
  <si>
    <t xml:space="preserve">  Total Denominational Ministry</t>
  </si>
  <si>
    <t>Based on 525 members - 292.94 per member</t>
  </si>
  <si>
    <t>Facilities and Equipment</t>
  </si>
  <si>
    <t>Equipment Repairs</t>
  </si>
  <si>
    <t>Equipment Small (&lt;$1,000)</t>
  </si>
  <si>
    <t>Includes phone from office budget</t>
  </si>
  <si>
    <t>Facility Repair</t>
  </si>
  <si>
    <t>Perform some jobs yet this year</t>
  </si>
  <si>
    <t>Gardening</t>
  </si>
  <si>
    <t>Insurance</t>
  </si>
  <si>
    <t>Lawnmowing &amp; Snowplowing</t>
  </si>
  <si>
    <t>Maintenance</t>
  </si>
  <si>
    <t>Parking Lot Repairs</t>
  </si>
  <si>
    <t>Utilities - Electric</t>
  </si>
  <si>
    <t>Make some purchases yet this year</t>
  </si>
  <si>
    <t>Utilities - Gas</t>
  </si>
  <si>
    <t>Utilities - Other</t>
  </si>
  <si>
    <t>Outdoor sign</t>
  </si>
  <si>
    <t xml:space="preserve">  Total Facilities and Equipment</t>
  </si>
  <si>
    <t>Administration/Leadership</t>
  </si>
  <si>
    <t>Accounting/Payroll Services</t>
  </si>
  <si>
    <t>Communications - Telephone, Internet</t>
  </si>
  <si>
    <t>Computer Updating/Maintenance</t>
  </si>
  <si>
    <t>Council Expense</t>
  </si>
  <si>
    <t>Dues &amp; Subscriptions</t>
  </si>
  <si>
    <t>Dues &amp; Subscriptions - Webhosting</t>
  </si>
  <si>
    <t>Legal &amp; Professional</t>
  </si>
  <si>
    <t>Liability Insurance</t>
  </si>
  <si>
    <t>Office Equipment - Purchases and Rental</t>
  </si>
  <si>
    <t>Office Supplies, Paper, Postage</t>
  </si>
  <si>
    <t>Rent - Admin &amp; Facilities</t>
  </si>
  <si>
    <t>Repairs / Improvements</t>
  </si>
  <si>
    <t>Taxes, Licenses &amp; Fees</t>
  </si>
  <si>
    <t>Utilities</t>
  </si>
  <si>
    <t>Miscellaneous Expenses</t>
  </si>
  <si>
    <t xml:space="preserve">  Total Administration</t>
  </si>
  <si>
    <t>Christian Ed. Assistance (5%)</t>
  </si>
  <si>
    <t xml:space="preserve"> Promise to restore to previous levels</t>
  </si>
  <si>
    <t xml:space="preserve">Total General Fund Requests </t>
  </si>
  <si>
    <t># of Members &gt;= 18 yrs old and not in college</t>
  </si>
  <si>
    <t>General Fund Budget/Member</t>
  </si>
  <si>
    <t>Per Member Yearly Budget</t>
  </si>
  <si>
    <t>Per member</t>
  </si>
  <si>
    <t>Special Fund Giving Goals</t>
  </si>
  <si>
    <t>Benevolence</t>
  </si>
  <si>
    <t>Capital Improvement Fund</t>
  </si>
  <si>
    <t xml:space="preserve">Christian Education Fund </t>
  </si>
  <si>
    <t>Faith Promise Fund</t>
  </si>
  <si>
    <t>Recommended Causes</t>
  </si>
  <si>
    <t>Total Special Fund Goals</t>
  </si>
  <si>
    <t>Total  Projected Giving</t>
  </si>
  <si>
    <t>Wage and Benefit Detail</t>
  </si>
  <si>
    <t>Hours per</t>
  </si>
  <si>
    <t>Hourly</t>
  </si>
  <si>
    <t>Computed</t>
  </si>
  <si>
    <t>FICA /</t>
  </si>
  <si>
    <t>Health</t>
  </si>
  <si>
    <t>Auto</t>
  </si>
  <si>
    <t>Cont.</t>
  </si>
  <si>
    <t>Workers'</t>
  </si>
  <si>
    <t>Sabb.</t>
  </si>
  <si>
    <t>Total</t>
  </si>
  <si>
    <t>Allocation percentages ----------&gt;</t>
  </si>
  <si>
    <t>Allocation $$ ----------&gt;</t>
  </si>
  <si>
    <t>week</t>
  </si>
  <si>
    <t>Rate</t>
  </si>
  <si>
    <t>Wages</t>
  </si>
  <si>
    <t>SECA</t>
  </si>
  <si>
    <t>MPF</t>
  </si>
  <si>
    <t>403b</t>
  </si>
  <si>
    <t>Reimb</t>
  </si>
  <si>
    <t>Educ.</t>
  </si>
  <si>
    <t>Comp.</t>
  </si>
  <si>
    <t>Fund</t>
  </si>
  <si>
    <t>Bene.</t>
  </si>
  <si>
    <t>Wage+Bene</t>
  </si>
  <si>
    <t>Worship</t>
  </si>
  <si>
    <t>Pastoral</t>
  </si>
  <si>
    <t>Youth</t>
  </si>
  <si>
    <t>Adult</t>
  </si>
  <si>
    <t>Cong</t>
  </si>
  <si>
    <t>Evang</t>
  </si>
  <si>
    <t>Denom</t>
  </si>
  <si>
    <t>Building</t>
  </si>
  <si>
    <t>Admin</t>
  </si>
  <si>
    <t>Chr. Ed.</t>
  </si>
  <si>
    <t>Special</t>
  </si>
  <si>
    <t>Senior Pastor Salaries</t>
  </si>
  <si>
    <t>Senior Pastor</t>
  </si>
  <si>
    <t>Pastor 2</t>
  </si>
  <si>
    <t xml:space="preserve">  Totals: FTEs / $</t>
  </si>
  <si>
    <t xml:space="preserve">Ministry Staff Wages </t>
  </si>
  <si>
    <t>Director of Evangelism</t>
  </si>
  <si>
    <t>Children/Youth Ministries Coordinator</t>
  </si>
  <si>
    <t>Seminary Intern</t>
  </si>
  <si>
    <t>Adult Education Coordinator</t>
  </si>
  <si>
    <t>Worship/Music Coordinator</t>
  </si>
  <si>
    <t>Ministry Assistant</t>
  </si>
  <si>
    <t>Merit allocations</t>
  </si>
  <si>
    <t>Church Administrator</t>
  </si>
  <si>
    <t xml:space="preserve">Bookkeeper </t>
  </si>
  <si>
    <t>Bulletin Secretary</t>
  </si>
  <si>
    <t>Secretary vacation coverage</t>
  </si>
  <si>
    <t>Network Administrator</t>
  </si>
  <si>
    <t>Custodian (includes overtime)</t>
  </si>
  <si>
    <t>Custodial Asst.</t>
  </si>
  <si>
    <t>Grand Totals: FTEs / $</t>
  </si>
  <si>
    <t>Total Church Commitment to Ministry</t>
  </si>
  <si>
    <t>With Special Funds</t>
  </si>
  <si>
    <t>Wages &amp;</t>
  </si>
  <si>
    <t>General Fd</t>
  </si>
  <si>
    <t>Grand</t>
  </si>
  <si>
    <t>%</t>
  </si>
  <si>
    <t>Benefits</t>
  </si>
  <si>
    <t>Other</t>
  </si>
  <si>
    <t>Funds</t>
  </si>
  <si>
    <t>Children/Youth Ministries</t>
  </si>
  <si>
    <t>Building &amp; Grounds</t>
  </si>
  <si>
    <t>Admin/Leadership</t>
  </si>
  <si>
    <t xml:space="preserve">Christian Ed. </t>
  </si>
  <si>
    <t xml:space="preserve">    Total</t>
  </si>
  <si>
    <t xml:space="preserve">General </t>
  </si>
  <si>
    <t>General Fund Operating Budget</t>
  </si>
  <si>
    <t>Without Special Funds</t>
  </si>
  <si>
    <t>Wages/Benes</t>
  </si>
</sst>
</file>

<file path=xl/styles.xml><?xml version="1.0" encoding="utf-8"?>
<styleSheet xmlns="http://schemas.openxmlformats.org/spreadsheetml/2006/main">
  <numFmts count="12">
    <numFmt numFmtId="164" formatCode="GENERAL"/>
    <numFmt numFmtId="165" formatCode="_(* #,##0.00_);_(* \(#,##0.00\);_(* \-??_);_(@_)"/>
    <numFmt numFmtId="166" formatCode="\$#,##0"/>
    <numFmt numFmtId="167" formatCode="0%"/>
    <numFmt numFmtId="168" formatCode="0.0%"/>
    <numFmt numFmtId="169" formatCode="_(* #,##0_);_(* \(#,##0\);_(* \-??_);_(@_)"/>
    <numFmt numFmtId="170" formatCode="0.00"/>
    <numFmt numFmtId="171" formatCode="_(* #,##0_);_(* \(#,##0\);_(* \-_);_(@_)"/>
    <numFmt numFmtId="172" formatCode="#,##0"/>
    <numFmt numFmtId="173" formatCode="\$#,##0_);&quot;($&quot;#,##0\)"/>
    <numFmt numFmtId="174" formatCode="#,##0.0"/>
    <numFmt numFmtId="175" formatCode="\$#,##0.00"/>
  </numFmts>
  <fonts count="20">
    <font>
      <sz val="10"/>
      <name val="Arial"/>
      <family val="2"/>
    </font>
    <font>
      <sz val="14"/>
      <name val="Arial"/>
      <family val="2"/>
    </font>
    <font>
      <sz val="10"/>
      <color indexed="14"/>
      <name val="Arial"/>
      <family val="2"/>
    </font>
    <font>
      <sz val="8"/>
      <color indexed="8"/>
      <name val="Arial"/>
      <family val="2"/>
    </font>
    <font>
      <i/>
      <sz val="8"/>
      <color indexed="8"/>
      <name val="Arial"/>
      <family val="2"/>
    </font>
    <font>
      <i/>
      <sz val="10"/>
      <color indexed="14"/>
      <name val="Arial"/>
      <family val="2"/>
    </font>
    <font>
      <b/>
      <sz val="8"/>
      <color indexed="8"/>
      <name val="Arial"/>
      <family val="2"/>
    </font>
    <font>
      <b/>
      <sz val="10"/>
      <color indexed="14"/>
      <name val="Arial"/>
      <family val="2"/>
    </font>
    <font>
      <b/>
      <i/>
      <sz val="8"/>
      <color indexed="8"/>
      <name val="Arial"/>
      <family val="2"/>
    </font>
    <font>
      <b/>
      <sz val="14"/>
      <name val="Arial"/>
      <family val="2"/>
    </font>
    <font>
      <b/>
      <sz val="10"/>
      <name val="Arial"/>
      <family val="2"/>
    </font>
    <font>
      <b/>
      <sz val="12"/>
      <name val="Arial"/>
      <family val="2"/>
    </font>
    <font>
      <sz val="12"/>
      <name val="Arial"/>
      <family val="2"/>
    </font>
    <font>
      <sz val="12"/>
      <color indexed="63"/>
      <name val="Arial"/>
      <family val="2"/>
    </font>
    <font>
      <sz val="21.25"/>
      <color indexed="63"/>
      <name val="Arial"/>
      <family val="2"/>
    </font>
    <font>
      <sz val="11.75"/>
      <color indexed="63"/>
      <name val="Arial"/>
      <family val="2"/>
    </font>
    <font>
      <sz val="20.5"/>
      <color indexed="63"/>
      <name val="Arial"/>
      <family val="2"/>
    </font>
    <font>
      <b/>
      <sz val="10.5"/>
      <color indexed="63"/>
      <name val="Arial"/>
      <family val="2"/>
    </font>
    <font>
      <sz val="9"/>
      <color indexed="63"/>
      <name val="Arial"/>
      <family val="2"/>
    </font>
    <font>
      <sz val="11.5"/>
      <color indexed="63"/>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style="double">
        <color indexed="63"/>
      </bottom>
    </border>
    <border>
      <left>
        <color indexed="63"/>
      </left>
      <right>
        <color indexed="63"/>
      </right>
      <top>
        <color indexed="63"/>
      </top>
      <bottom style="double">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7" fontId="0" fillId="0" borderId="0" applyFill="0" applyBorder="0" applyAlignment="0" applyProtection="0"/>
  </cellStyleXfs>
  <cellXfs count="112">
    <xf numFmtId="164" fontId="0" fillId="0" borderId="0" xfId="0" applyAlignment="1">
      <alignment/>
    </xf>
    <xf numFmtId="164" fontId="1" fillId="0" borderId="0" xfId="0" applyFont="1" applyAlignment="1">
      <alignment/>
    </xf>
    <xf numFmtId="164" fontId="0" fillId="0" borderId="0" xfId="0" applyNumberFormat="1" applyFont="1" applyAlignment="1">
      <alignment wrapText="1"/>
    </xf>
    <xf numFmtId="164" fontId="0" fillId="0" borderId="0" xfId="0" applyFont="1" applyAlignment="1">
      <alignment/>
    </xf>
    <xf numFmtId="164" fontId="3" fillId="0" borderId="0" xfId="0" applyFont="1" applyAlignment="1">
      <alignment/>
    </xf>
    <xf numFmtId="164" fontId="3" fillId="0" borderId="0" xfId="0" applyFont="1" applyAlignment="1">
      <alignment horizontal="center"/>
    </xf>
    <xf numFmtId="165" fontId="3" fillId="0" borderId="0" xfId="15" applyFont="1" applyFill="1" applyBorder="1" applyAlignment="1" applyProtection="1">
      <alignment/>
      <protection/>
    </xf>
    <xf numFmtId="164" fontId="3" fillId="0" borderId="0" xfId="0" applyFont="1" applyAlignment="1">
      <alignment wrapText="1"/>
    </xf>
    <xf numFmtId="164" fontId="3" fillId="0" borderId="0" xfId="0" applyFont="1" applyAlignment="1">
      <alignment horizontal="left"/>
    </xf>
    <xf numFmtId="164" fontId="4" fillId="0" borderId="0" xfId="0" applyFont="1" applyAlignment="1">
      <alignment/>
    </xf>
    <xf numFmtId="164" fontId="6" fillId="0" borderId="0" xfId="0" applyFont="1" applyAlignment="1">
      <alignment/>
    </xf>
    <xf numFmtId="165" fontId="6" fillId="0" borderId="0" xfId="15" applyFont="1" applyFill="1" applyBorder="1" applyAlignment="1" applyProtection="1">
      <alignment/>
      <protection/>
    </xf>
    <xf numFmtId="165" fontId="6" fillId="0" borderId="0" xfId="15" applyFont="1" applyFill="1" applyBorder="1" applyAlignment="1" applyProtection="1">
      <alignment horizontal="center"/>
      <protection/>
    </xf>
    <xf numFmtId="164" fontId="6" fillId="0" borderId="0" xfId="0" applyFont="1" applyAlignment="1">
      <alignment horizontal="center"/>
    </xf>
    <xf numFmtId="164" fontId="6" fillId="0" borderId="0" xfId="0" applyFont="1" applyAlignment="1">
      <alignment wrapText="1"/>
    </xf>
    <xf numFmtId="164" fontId="6" fillId="0" borderId="0" xfId="0" applyFont="1" applyAlignment="1">
      <alignment horizontal="left" wrapText="1"/>
    </xf>
    <xf numFmtId="164" fontId="6" fillId="0" borderId="0" xfId="0" applyFont="1" applyAlignment="1">
      <alignment horizontal="right"/>
    </xf>
    <xf numFmtId="165" fontId="3" fillId="0" borderId="0" xfId="15" applyFont="1" applyFill="1" applyBorder="1" applyAlignment="1" applyProtection="1">
      <alignment horizontal="center"/>
      <protection/>
    </xf>
    <xf numFmtId="166" fontId="3" fillId="0" borderId="0" xfId="15" applyNumberFormat="1" applyFont="1" applyFill="1" applyBorder="1" applyAlignment="1" applyProtection="1">
      <alignment/>
      <protection/>
    </xf>
    <xf numFmtId="166" fontId="3" fillId="0" borderId="0" xfId="0" applyNumberFormat="1" applyFont="1" applyBorder="1" applyAlignment="1">
      <alignment/>
    </xf>
    <xf numFmtId="168" fontId="3" fillId="0" borderId="0" xfId="19" applyNumberFormat="1" applyFont="1" applyFill="1" applyBorder="1" applyAlignment="1" applyProtection="1">
      <alignment/>
      <protection/>
    </xf>
    <xf numFmtId="169" fontId="3" fillId="0" borderId="0" xfId="15" applyNumberFormat="1" applyFont="1" applyFill="1" applyBorder="1" applyAlignment="1" applyProtection="1">
      <alignment/>
      <protection/>
    </xf>
    <xf numFmtId="166" fontId="3" fillId="0" borderId="0" xfId="0" applyNumberFormat="1" applyFont="1" applyAlignment="1">
      <alignment/>
    </xf>
    <xf numFmtId="164" fontId="3" fillId="0" borderId="0" xfId="0" applyFont="1" applyAlignment="1">
      <alignment horizontal="center" wrapText="1"/>
    </xf>
    <xf numFmtId="165" fontId="3" fillId="0" borderId="0" xfId="15" applyFont="1" applyFill="1" applyBorder="1" applyAlignment="1" applyProtection="1">
      <alignment wrapText="1"/>
      <protection/>
    </xf>
    <xf numFmtId="169" fontId="3" fillId="0" borderId="1" xfId="15" applyNumberFormat="1" applyFont="1" applyFill="1" applyBorder="1" applyAlignment="1" applyProtection="1">
      <alignment/>
      <protection/>
    </xf>
    <xf numFmtId="166" fontId="3" fillId="0" borderId="1" xfId="0" applyNumberFormat="1" applyFont="1" applyBorder="1" applyAlignment="1">
      <alignment/>
    </xf>
    <xf numFmtId="168" fontId="3" fillId="0" borderId="1" xfId="19" applyNumberFormat="1" applyFont="1" applyFill="1" applyBorder="1" applyAlignment="1" applyProtection="1">
      <alignment/>
      <protection/>
    </xf>
    <xf numFmtId="170" fontId="3" fillId="0" borderId="0" xfId="0" applyNumberFormat="1" applyFont="1" applyAlignment="1">
      <alignment wrapText="1"/>
    </xf>
    <xf numFmtId="169" fontId="6" fillId="0" borderId="0" xfId="15" applyNumberFormat="1" applyFont="1" applyFill="1" applyBorder="1" applyAlignment="1" applyProtection="1">
      <alignment/>
      <protection/>
    </xf>
    <xf numFmtId="167" fontId="3" fillId="0" borderId="0" xfId="0" applyNumberFormat="1" applyFont="1" applyAlignment="1">
      <alignment wrapText="1"/>
    </xf>
    <xf numFmtId="164" fontId="3" fillId="0" borderId="0" xfId="0" applyFont="1" applyFill="1" applyBorder="1" applyAlignment="1">
      <alignment wrapText="1"/>
    </xf>
    <xf numFmtId="164" fontId="3" fillId="2" borderId="2" xfId="0" applyFont="1" applyFill="1" applyBorder="1" applyAlignment="1">
      <alignment/>
    </xf>
    <xf numFmtId="164" fontId="3" fillId="2" borderId="0" xfId="0" applyFont="1" applyFill="1" applyBorder="1" applyAlignment="1">
      <alignment/>
    </xf>
    <xf numFmtId="169" fontId="6" fillId="0" borderId="3" xfId="15" applyNumberFormat="1" applyFont="1" applyFill="1" applyBorder="1" applyAlignment="1" applyProtection="1">
      <alignment/>
      <protection/>
    </xf>
    <xf numFmtId="166" fontId="3" fillId="0" borderId="3" xfId="0" applyNumberFormat="1" applyFont="1" applyBorder="1" applyAlignment="1">
      <alignment/>
    </xf>
    <xf numFmtId="168" fontId="3" fillId="0" borderId="3" xfId="19" applyNumberFormat="1" applyFont="1" applyFill="1" applyBorder="1" applyAlignment="1" applyProtection="1">
      <alignment/>
      <protection/>
    </xf>
    <xf numFmtId="168" fontId="8" fillId="0" borderId="0" xfId="19" applyNumberFormat="1" applyFont="1" applyFill="1" applyBorder="1" applyAlignment="1" applyProtection="1">
      <alignment wrapText="1"/>
      <protection/>
    </xf>
    <xf numFmtId="169" fontId="3" fillId="0" borderId="0" xfId="0" applyNumberFormat="1" applyFont="1" applyAlignment="1">
      <alignment/>
    </xf>
    <xf numFmtId="170" fontId="3" fillId="0" borderId="0" xfId="0" applyNumberFormat="1" applyFont="1" applyAlignment="1">
      <alignment/>
    </xf>
    <xf numFmtId="165" fontId="3" fillId="0" borderId="0" xfId="15" applyNumberFormat="1" applyFont="1" applyFill="1" applyBorder="1" applyAlignment="1" applyProtection="1">
      <alignment/>
      <protection/>
    </xf>
    <xf numFmtId="171" fontId="6" fillId="0" borderId="0" xfId="15" applyNumberFormat="1" applyFont="1" applyFill="1" applyBorder="1" applyAlignment="1" applyProtection="1">
      <alignment/>
      <protection/>
    </xf>
    <xf numFmtId="166" fontId="6" fillId="0" borderId="4" xfId="15" applyNumberFormat="1" applyFont="1" applyFill="1" applyBorder="1" applyAlignment="1" applyProtection="1">
      <alignment/>
      <protection/>
    </xf>
    <xf numFmtId="172" fontId="6" fillId="0" borderId="4" xfId="15" applyNumberFormat="1" applyFont="1" applyFill="1" applyBorder="1" applyAlignment="1" applyProtection="1">
      <alignment/>
      <protection/>
    </xf>
    <xf numFmtId="166" fontId="6" fillId="0" borderId="4" xfId="0" applyNumberFormat="1" applyFont="1" applyBorder="1" applyAlignment="1">
      <alignment/>
    </xf>
    <xf numFmtId="168" fontId="6" fillId="0" borderId="4" xfId="19" applyNumberFormat="1" applyFont="1" applyFill="1" applyBorder="1" applyAlignment="1" applyProtection="1">
      <alignment/>
      <protection/>
    </xf>
    <xf numFmtId="168" fontId="6" fillId="0" borderId="0" xfId="19" applyNumberFormat="1" applyFont="1" applyFill="1" applyBorder="1" applyAlignment="1" applyProtection="1">
      <alignment/>
      <protection/>
    </xf>
    <xf numFmtId="169" fontId="3" fillId="0" borderId="0" xfId="0" applyNumberFormat="1" applyFont="1" applyAlignment="1">
      <alignment horizontal="center"/>
    </xf>
    <xf numFmtId="169" fontId="6" fillId="0" borderId="0" xfId="0" applyNumberFormat="1" applyFont="1" applyAlignment="1">
      <alignment horizontal="center"/>
    </xf>
    <xf numFmtId="164" fontId="6" fillId="0" borderId="0" xfId="0" applyFont="1" applyFill="1" applyAlignment="1">
      <alignment/>
    </xf>
    <xf numFmtId="164" fontId="3" fillId="0" borderId="0" xfId="0" applyFont="1" applyFill="1" applyAlignment="1">
      <alignment horizontal="right"/>
    </xf>
    <xf numFmtId="173" fontId="6" fillId="0" borderId="0" xfId="15" applyNumberFormat="1" applyFont="1" applyFill="1" applyBorder="1" applyAlignment="1" applyProtection="1">
      <alignment horizontal="right"/>
      <protection/>
    </xf>
    <xf numFmtId="166" fontId="6" fillId="0" borderId="0" xfId="0" applyNumberFormat="1" applyFont="1" applyFill="1" applyAlignment="1">
      <alignment/>
    </xf>
    <xf numFmtId="166" fontId="6" fillId="0" borderId="0" xfId="0" applyNumberFormat="1" applyFont="1" applyAlignment="1">
      <alignment/>
    </xf>
    <xf numFmtId="166" fontId="6" fillId="0" borderId="0" xfId="0" applyNumberFormat="1" applyFont="1" applyBorder="1" applyAlignment="1">
      <alignment/>
    </xf>
    <xf numFmtId="169" fontId="6" fillId="0" borderId="4" xfId="15" applyNumberFormat="1" applyFont="1" applyFill="1" applyBorder="1" applyAlignment="1" applyProtection="1">
      <alignment/>
      <protection/>
    </xf>
    <xf numFmtId="172" fontId="6" fillId="0" borderId="4" xfId="0" applyNumberFormat="1" applyFont="1" applyBorder="1" applyAlignment="1">
      <alignment/>
    </xf>
    <xf numFmtId="166" fontId="0" fillId="0" borderId="0" xfId="0" applyNumberFormat="1" applyAlignment="1">
      <alignment/>
    </xf>
    <xf numFmtId="174" fontId="0" fillId="0" borderId="0" xfId="0" applyNumberFormat="1" applyAlignment="1">
      <alignment/>
    </xf>
    <xf numFmtId="175" fontId="0" fillId="0" borderId="0" xfId="0" applyNumberFormat="1" applyAlignment="1">
      <alignment/>
    </xf>
    <xf numFmtId="168" fontId="0" fillId="0" borderId="0" xfId="0" applyNumberFormat="1" applyAlignment="1">
      <alignment/>
    </xf>
    <xf numFmtId="166" fontId="1" fillId="0" borderId="0" xfId="0" applyNumberFormat="1" applyFont="1" applyAlignment="1">
      <alignment/>
    </xf>
    <xf numFmtId="166" fontId="1" fillId="0" borderId="0" xfId="0" applyNumberFormat="1" applyFont="1" applyAlignment="1">
      <alignment wrapText="1"/>
    </xf>
    <xf numFmtId="166" fontId="9" fillId="0" borderId="0" xfId="0" applyNumberFormat="1" applyFont="1" applyAlignment="1">
      <alignment horizontal="center"/>
    </xf>
    <xf numFmtId="174" fontId="10" fillId="0" borderId="0" xfId="0" applyNumberFormat="1" applyFont="1" applyAlignment="1">
      <alignment horizontal="center"/>
    </xf>
    <xf numFmtId="175" fontId="10" fillId="0" borderId="0" xfId="0" applyNumberFormat="1" applyFont="1" applyAlignment="1">
      <alignment horizontal="center"/>
    </xf>
    <xf numFmtId="166" fontId="10" fillId="3" borderId="0" xfId="0" applyNumberFormat="1" applyFont="1" applyFill="1" applyAlignment="1">
      <alignment horizontal="center"/>
    </xf>
    <xf numFmtId="166" fontId="10" fillId="0" borderId="0" xfId="0" applyNumberFormat="1" applyFont="1" applyAlignment="1">
      <alignment horizontal="center"/>
    </xf>
    <xf numFmtId="168" fontId="10" fillId="0" borderId="0" xfId="0" applyNumberFormat="1" applyFont="1" applyAlignment="1">
      <alignment horizontal="left"/>
    </xf>
    <xf numFmtId="168" fontId="10" fillId="0" borderId="0" xfId="0" applyNumberFormat="1" applyFont="1" applyAlignment="1">
      <alignment horizontal="center"/>
    </xf>
    <xf numFmtId="168" fontId="10" fillId="0" borderId="0" xfId="15" applyNumberFormat="1" applyFont="1" applyFill="1" applyBorder="1" applyAlignment="1" applyProtection="1">
      <alignment horizontal="center"/>
      <protection/>
    </xf>
    <xf numFmtId="166" fontId="0" fillId="3" borderId="0" xfId="0" applyNumberFormat="1" applyFill="1" applyAlignment="1">
      <alignment/>
    </xf>
    <xf numFmtId="166" fontId="10" fillId="0" borderId="0" xfId="15" applyNumberFormat="1" applyFont="1" applyFill="1" applyBorder="1" applyAlignment="1" applyProtection="1">
      <alignment/>
      <protection/>
    </xf>
    <xf numFmtId="166" fontId="0" fillId="0" borderId="0" xfId="15" applyNumberFormat="1" applyFont="1" applyFill="1" applyBorder="1" applyAlignment="1" applyProtection="1">
      <alignment/>
      <protection/>
    </xf>
    <xf numFmtId="174" fontId="2" fillId="0" borderId="0" xfId="0" applyNumberFormat="1" applyFont="1" applyBorder="1" applyAlignment="1">
      <alignment/>
    </xf>
    <xf numFmtId="175" fontId="0" fillId="0" borderId="0" xfId="0" applyNumberFormat="1" applyFont="1" applyBorder="1" applyAlignment="1">
      <alignment/>
    </xf>
    <xf numFmtId="166" fontId="2" fillId="3" borderId="0" xfId="0" applyNumberFormat="1" applyFont="1" applyFill="1" applyBorder="1" applyAlignment="1">
      <alignment/>
    </xf>
    <xf numFmtId="166" fontId="0" fillId="0" borderId="0" xfId="0" applyNumberFormat="1" applyFont="1" applyBorder="1" applyAlignment="1">
      <alignment/>
    </xf>
    <xf numFmtId="166" fontId="2" fillId="0" borderId="0" xfId="0" applyNumberFormat="1" applyFont="1" applyBorder="1" applyAlignment="1">
      <alignment/>
    </xf>
    <xf numFmtId="166" fontId="0" fillId="3" borderId="0" xfId="0" applyNumberFormat="1" applyFill="1" applyBorder="1" applyAlignment="1">
      <alignment/>
    </xf>
    <xf numFmtId="168" fontId="2" fillId="0" borderId="0" xfId="0" applyNumberFormat="1" applyFont="1" applyAlignment="1">
      <alignment/>
    </xf>
    <xf numFmtId="174" fontId="2" fillId="0" borderId="1" xfId="0" applyNumberFormat="1" applyFont="1" applyBorder="1" applyAlignment="1">
      <alignment/>
    </xf>
    <xf numFmtId="175" fontId="0" fillId="0" borderId="0" xfId="0" applyNumberFormat="1" applyFont="1" applyAlignment="1">
      <alignment/>
    </xf>
    <xf numFmtId="166" fontId="2" fillId="3" borderId="1" xfId="0" applyNumberFormat="1" applyFont="1" applyFill="1" applyBorder="1" applyAlignment="1">
      <alignment/>
    </xf>
    <xf numFmtId="166" fontId="0" fillId="0" borderId="1" xfId="0" applyNumberFormat="1" applyFont="1" applyBorder="1" applyAlignment="1">
      <alignment/>
    </xf>
    <xf numFmtId="166" fontId="2" fillId="0" borderId="1" xfId="0" applyNumberFormat="1" applyFont="1" applyBorder="1" applyAlignment="1">
      <alignment/>
    </xf>
    <xf numFmtId="166" fontId="0" fillId="3" borderId="1" xfId="0" applyNumberFormat="1" applyFill="1" applyBorder="1" applyAlignment="1">
      <alignment/>
    </xf>
    <xf numFmtId="166" fontId="0" fillId="0" borderId="0" xfId="15" applyNumberFormat="1" applyFont="1" applyFill="1" applyBorder="1" applyAlignment="1" applyProtection="1">
      <alignment wrapText="1"/>
      <protection/>
    </xf>
    <xf numFmtId="166" fontId="0" fillId="0" borderId="0" xfId="0" applyNumberFormat="1" applyFont="1" applyAlignment="1">
      <alignment/>
    </xf>
    <xf numFmtId="174" fontId="2" fillId="0" borderId="0" xfId="0" applyNumberFormat="1" applyFont="1" applyAlignment="1">
      <alignment/>
    </xf>
    <xf numFmtId="175" fontId="2" fillId="0" borderId="0" xfId="0" applyNumberFormat="1" applyFont="1" applyAlignment="1">
      <alignment/>
    </xf>
    <xf numFmtId="166" fontId="2" fillId="0" borderId="0" xfId="0" applyNumberFormat="1" applyFont="1" applyAlignment="1">
      <alignment/>
    </xf>
    <xf numFmtId="166" fontId="0" fillId="0" borderId="0" xfId="15" applyNumberFormat="1" applyFont="1" applyFill="1" applyBorder="1" applyAlignment="1" applyProtection="1">
      <alignment/>
      <protection locked="0"/>
    </xf>
    <xf numFmtId="175" fontId="2" fillId="0" borderId="0" xfId="0" applyNumberFormat="1" applyFont="1" applyBorder="1" applyAlignment="1">
      <alignment/>
    </xf>
    <xf numFmtId="175" fontId="2" fillId="0" borderId="1" xfId="0" applyNumberFormat="1" applyFont="1" applyBorder="1" applyAlignment="1">
      <alignment/>
    </xf>
    <xf numFmtId="166" fontId="10" fillId="0" borderId="0" xfId="15" applyNumberFormat="1" applyFont="1" applyFill="1" applyBorder="1" applyAlignment="1" applyProtection="1">
      <alignment wrapText="1"/>
      <protection/>
    </xf>
    <xf numFmtId="174" fontId="0" fillId="0" borderId="5" xfId="0" applyNumberFormat="1" applyBorder="1" applyAlignment="1">
      <alignment/>
    </xf>
    <xf numFmtId="166" fontId="0" fillId="3" borderId="5" xfId="0" applyNumberFormat="1" applyFill="1" applyBorder="1" applyAlignment="1">
      <alignment/>
    </xf>
    <xf numFmtId="166" fontId="0" fillId="0" borderId="5" xfId="0" applyNumberFormat="1" applyBorder="1" applyAlignment="1">
      <alignment/>
    </xf>
    <xf numFmtId="166" fontId="0" fillId="0" borderId="4" xfId="0" applyNumberFormat="1" applyBorder="1" applyAlignment="1">
      <alignment/>
    </xf>
    <xf numFmtId="164" fontId="0" fillId="0" borderId="0" xfId="0" applyFont="1" applyAlignment="1">
      <alignment/>
    </xf>
    <xf numFmtId="164" fontId="11" fillId="0" borderId="0" xfId="0" applyFont="1" applyAlignment="1">
      <alignment horizontal="center"/>
    </xf>
    <xf numFmtId="166" fontId="11" fillId="0" borderId="0" xfId="0" applyNumberFormat="1" applyFont="1" applyAlignment="1">
      <alignment horizontal="right"/>
    </xf>
    <xf numFmtId="164" fontId="11" fillId="0" borderId="0" xfId="0" applyFont="1" applyAlignment="1">
      <alignment horizontal="right"/>
    </xf>
    <xf numFmtId="165" fontId="12" fillId="0" borderId="0" xfId="15" applyFont="1" applyFill="1" applyBorder="1" applyAlignment="1" applyProtection="1">
      <alignment/>
      <protection/>
    </xf>
    <xf numFmtId="165" fontId="12" fillId="0" borderId="0" xfId="0" applyNumberFormat="1" applyFont="1" applyAlignment="1">
      <alignment/>
    </xf>
    <xf numFmtId="166" fontId="0" fillId="0" borderId="1" xfId="0" applyNumberFormat="1" applyBorder="1" applyAlignment="1">
      <alignment/>
    </xf>
    <xf numFmtId="168" fontId="0" fillId="0" borderId="1" xfId="0" applyNumberFormat="1" applyBorder="1" applyAlignment="1">
      <alignment/>
    </xf>
    <xf numFmtId="166" fontId="0" fillId="0" borderId="0" xfId="0" applyNumberFormat="1" applyBorder="1" applyAlignment="1">
      <alignment/>
    </xf>
    <xf numFmtId="168" fontId="0" fillId="0" borderId="0" xfId="0" applyNumberFormat="1" applyBorder="1" applyAlignment="1">
      <alignment/>
    </xf>
    <xf numFmtId="168" fontId="0" fillId="0" borderId="5" xfId="0" applyNumberFormat="1" applyBorder="1" applyAlignment="1">
      <alignment/>
    </xf>
    <xf numFmtId="164" fontId="0" fillId="0" borderId="5"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5"/>
          <c:y val="0.1045"/>
          <c:w val="0.42975"/>
          <c:h val="0.893"/>
        </c:manualLayout>
      </c:layout>
      <c:pieChart>
        <c:varyColors val="1"/>
        <c:ser>
          <c:idx val="0"/>
          <c:order val="0"/>
          <c:spPr>
            <a:solidFill>
              <a:srgbClr val="9999FF"/>
            </a:solidFill>
          </c:spPr>
          <c:explosion val="0"/>
          <c:extLst>
            <c:ext xmlns:c14="http://schemas.microsoft.com/office/drawing/2007/8/2/chart" uri="{6F2FDCE9-48DA-4B69-8628-5D25D57E5C99}">
              <c14:invertSolidFillFmt>
                <c14:spPr>
                  <a:solidFill>
                    <a:srgbClr val="3C3C3C"/>
                  </a:solidFill>
                </c14:spPr>
              </c14:invertSolidFillFmt>
            </c:ext>
          </c:extLst>
          <c:dPt>
            <c:idx val="0"/>
            <c:spPr>
              <a:solidFill>
                <a:srgbClr val="9999FF"/>
              </a:solidFill>
            </c:spPr>
          </c:dPt>
          <c:dPt>
            <c:idx val="1"/>
            <c:spPr>
              <a:solidFill>
                <a:srgbClr val="993366"/>
              </a:solidFill>
            </c:spPr>
          </c:dPt>
          <c:dPt>
            <c:idx val="2"/>
            <c:spPr>
              <a:solidFill>
                <a:srgbClr val="FFFFCC"/>
              </a:solidFill>
            </c:spPr>
          </c:dPt>
          <c:dPt>
            <c:idx val="3"/>
            <c:spPr>
              <a:solidFill>
                <a:srgbClr val="CCFFFF"/>
              </a:solidFill>
            </c:spPr>
          </c:dPt>
          <c:dPt>
            <c:idx val="4"/>
            <c:spPr>
              <a:solidFill>
                <a:srgbClr val="660066"/>
              </a:solidFill>
            </c:spPr>
          </c:dPt>
          <c:dPt>
            <c:idx val="5"/>
            <c:spPr>
              <a:solidFill>
                <a:srgbClr val="FF8080"/>
              </a:solidFill>
            </c:spPr>
          </c:dPt>
          <c:dPt>
            <c:idx val="6"/>
            <c:spPr>
              <a:solidFill>
                <a:srgbClr val="0066CC"/>
              </a:solidFill>
            </c:spPr>
          </c:dPt>
          <c:dPt>
            <c:idx val="7"/>
            <c:spPr>
              <a:solidFill>
                <a:srgbClr val="CCCCFF"/>
              </a:solidFill>
            </c:spPr>
          </c:dPt>
          <c:dPt>
            <c:idx val="8"/>
            <c:spPr>
              <a:solidFill>
                <a:srgbClr val="000080"/>
              </a:solidFill>
            </c:spPr>
          </c:dPt>
          <c:dPt>
            <c:idx val="9"/>
            <c:spPr>
              <a:solidFill>
                <a:srgbClr val="FF00FF"/>
              </a:solidFill>
            </c:spPr>
          </c:dPt>
          <c:dPt>
            <c:idx val="10"/>
            <c:spPr>
              <a:solidFill>
                <a:srgbClr val="FFFF00"/>
              </a:solidFill>
            </c:spPr>
          </c:dPt>
          <c:dLbls>
            <c:numFmt formatCode="0.0%" sourceLinked="0"/>
            <c:spPr>
              <a:noFill/>
              <a:ln>
                <a:noFill/>
              </a:ln>
            </c:spPr>
            <c:txPr>
              <a:bodyPr vert="horz" rot="0" anchor="ctr"/>
              <a:lstStyle/>
              <a:p>
                <a:pPr algn="ctr">
                  <a:defRPr lang="en-US" cap="none" sz="1200" b="0" i="0" u="none" baseline="0">
                    <a:solidFill>
                      <a:srgbClr val="3C3C3C"/>
                    </a:solidFill>
                    <a:latin typeface="Arial"/>
                    <a:ea typeface="Arial"/>
                    <a:cs typeface="Arial"/>
                  </a:defRPr>
                </a:pPr>
              </a:p>
            </c:txPr>
            <c:showLegendKey val="0"/>
            <c:showVal val="0"/>
            <c:showBubbleSize val="0"/>
            <c:showCatName val="1"/>
            <c:showSerName val="0"/>
            <c:showLeaderLines val="0"/>
            <c:showPercent val="1"/>
            <c:separator>
</c:separator>
          </c:dLbls>
          <c:cat>
            <c:strRef>
              <c:f>'4. All Dept summary'!$A$8:$A$18</c:f>
              <c:strCache/>
            </c:strRef>
          </c:cat>
          <c:val>
            <c:numRef>
              <c:f>'4. All Dept summary'!$F$8:$F$18</c:f>
              <c:numCache/>
            </c:numRef>
          </c:val>
        </c:ser>
        <c:ser>
          <c:idx val="1"/>
          <c:order val="1"/>
          <c:spPr>
            <a:solidFill>
              <a:srgbClr val="993366"/>
            </a:solidFill>
          </c:spPr>
          <c:explosion val="0"/>
          <c:extLst>
            <c:ext xmlns:c14="http://schemas.microsoft.com/office/drawing/2007/8/2/chart" uri="{6F2FDCE9-48DA-4B69-8628-5D25D57E5C99}">
              <c14:invertSolidFillFmt>
                <c14:spPr>
                  <a:solidFill>
                    <a:srgbClr val="3C3C3C"/>
                  </a:solidFill>
                </c14:spPr>
              </c14:invertSolidFillFmt>
            </c:ext>
          </c:extLst>
          <c:dPt>
            <c:idx val="0"/>
            <c:spPr>
              <a:solidFill>
                <a:srgbClr val="9999FF"/>
              </a:solidFill>
            </c:spPr>
          </c:dPt>
          <c:dPt>
            <c:idx val="1"/>
            <c:spPr>
              <a:solidFill>
                <a:srgbClr val="993366"/>
              </a:solidFill>
            </c:spPr>
          </c:dPt>
          <c:dPt>
            <c:idx val="2"/>
            <c:spPr>
              <a:solidFill>
                <a:srgbClr val="FFFFCC"/>
              </a:solidFill>
            </c:spPr>
          </c:dPt>
          <c:dPt>
            <c:idx val="3"/>
            <c:spPr>
              <a:solidFill>
                <a:srgbClr val="CCFFFF"/>
              </a:solidFill>
            </c:spPr>
          </c:dPt>
          <c:dPt>
            <c:idx val="4"/>
            <c:spPr>
              <a:solidFill>
                <a:srgbClr val="660066"/>
              </a:solidFill>
            </c:spPr>
          </c:dPt>
          <c:dPt>
            <c:idx val="5"/>
            <c:spPr>
              <a:solidFill>
                <a:srgbClr val="FF8080"/>
              </a:solidFill>
            </c:spPr>
          </c:dPt>
          <c:dPt>
            <c:idx val="6"/>
            <c:spPr>
              <a:solidFill>
                <a:srgbClr val="0066CC"/>
              </a:solidFill>
            </c:spPr>
          </c:dPt>
          <c:dPt>
            <c:idx val="7"/>
            <c:spPr>
              <a:solidFill>
                <a:srgbClr val="CCCCFF"/>
              </a:solidFill>
            </c:spPr>
          </c:dPt>
          <c:dPt>
            <c:idx val="8"/>
            <c:spPr>
              <a:solidFill>
                <a:srgbClr val="000080"/>
              </a:solidFill>
            </c:spPr>
          </c:dPt>
          <c:dPt>
            <c:idx val="9"/>
            <c:spPr>
              <a:solidFill>
                <a:srgbClr val="FF00FF"/>
              </a:solidFill>
            </c:spPr>
          </c:dPt>
          <c:dPt>
            <c:idx val="10"/>
            <c:spPr>
              <a:solidFill>
                <a:srgbClr val="FFFF00"/>
              </a:solidFill>
            </c:spPr>
          </c:dPt>
          <c:dLbls>
            <c:numFmt formatCode="General" sourceLinked="1"/>
            <c:spPr>
              <a:noFill/>
              <a:ln>
                <a:noFill/>
              </a:ln>
            </c:spPr>
            <c:txPr>
              <a:bodyPr vert="horz" rot="0" anchor="ctr"/>
              <a:lstStyle/>
              <a:p>
                <a:pPr algn="ctr">
                  <a:defRPr lang="en-US" cap="none" sz="2125" b="0" i="0" u="none" baseline="0">
                    <a:solidFill>
                      <a:srgbClr val="3C3C3C"/>
                    </a:solidFill>
                    <a:latin typeface="Arial"/>
                    <a:ea typeface="Arial"/>
                    <a:cs typeface="Arial"/>
                  </a:defRPr>
                </a:pPr>
              </a:p>
            </c:txPr>
            <c:showLegendKey val="0"/>
            <c:showVal val="0"/>
            <c:showBubbleSize val="0"/>
            <c:showCatName val="1"/>
            <c:showSerName val="0"/>
            <c:showLeaderLines val="0"/>
            <c:showPercent val="1"/>
            <c:separator>
</c:separator>
          </c:dLbls>
          <c:cat>
            <c:strRef>
              <c:f>'4. All Dept summary'!$A$8:$A$18</c:f>
              <c:strCache/>
            </c:strRef>
          </c:cat>
          <c:val>
            <c:numRef>
              <c:f>'4. All Dept summary'!$F$8:$F$18</c:f>
              <c:numCache/>
            </c:numRef>
          </c:val>
        </c:ser>
      </c:pieChart>
      <c:spPr>
        <a:noFill/>
        <a:ln>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575"/>
          <c:y val="0.10325"/>
          <c:w val="0.41875"/>
          <c:h val="0.89425"/>
        </c:manualLayout>
      </c:layout>
      <c:pieChart>
        <c:varyColors val="1"/>
        <c:ser>
          <c:idx val="0"/>
          <c:order val="0"/>
          <c:spPr>
            <a:solidFill>
              <a:srgbClr val="9999FF"/>
            </a:solidFill>
          </c:spPr>
          <c:explosion val="0"/>
          <c:extLst>
            <c:ext xmlns:c14="http://schemas.microsoft.com/office/drawing/2007/8/2/chart" uri="{6F2FDCE9-48DA-4B69-8628-5D25D57E5C99}">
              <c14:invertSolidFillFmt>
                <c14:spPr>
                  <a:solidFill>
                    <a:srgbClr val="3C3C3C"/>
                  </a:solidFill>
                </c14:spPr>
              </c14:invertSolidFillFmt>
            </c:ext>
          </c:extLst>
          <c:dPt>
            <c:idx val="0"/>
            <c:spPr>
              <a:solidFill>
                <a:srgbClr val="9999FF"/>
              </a:solidFill>
            </c:spPr>
          </c:dPt>
          <c:dPt>
            <c:idx val="1"/>
            <c:spPr>
              <a:solidFill>
                <a:srgbClr val="993366"/>
              </a:solidFill>
            </c:spPr>
          </c:dPt>
          <c:dPt>
            <c:idx val="2"/>
            <c:spPr>
              <a:solidFill>
                <a:srgbClr val="FFFFCC"/>
              </a:solidFill>
            </c:spPr>
          </c:dPt>
          <c:dPt>
            <c:idx val="3"/>
            <c:spPr>
              <a:solidFill>
                <a:srgbClr val="CCFFFF"/>
              </a:solidFill>
            </c:spPr>
          </c:dPt>
          <c:dPt>
            <c:idx val="4"/>
            <c:spPr>
              <a:solidFill>
                <a:srgbClr val="660066"/>
              </a:solidFill>
            </c:spPr>
          </c:dPt>
          <c:dPt>
            <c:idx val="5"/>
            <c:spPr>
              <a:solidFill>
                <a:srgbClr val="FF8080"/>
              </a:solidFill>
            </c:spPr>
          </c:dPt>
          <c:dPt>
            <c:idx val="6"/>
            <c:spPr>
              <a:solidFill>
                <a:srgbClr val="0066CC"/>
              </a:solidFill>
            </c:spPr>
          </c:dPt>
          <c:dPt>
            <c:idx val="7"/>
            <c:spPr>
              <a:solidFill>
                <a:srgbClr val="CCCCFF"/>
              </a:solidFill>
            </c:spPr>
          </c:dPt>
          <c:dPt>
            <c:idx val="8"/>
            <c:spPr>
              <a:solidFill>
                <a:srgbClr val="000080"/>
              </a:solidFill>
            </c:spPr>
          </c:dPt>
          <c:dPt>
            <c:idx val="9"/>
            <c:spPr>
              <a:solidFill>
                <a:srgbClr val="FF00FF"/>
              </a:solidFill>
            </c:spPr>
          </c:dPt>
          <c:dPt>
            <c:idx val="10"/>
            <c:spPr>
              <a:solidFill>
                <a:srgbClr val="FFFF00"/>
              </a:solidFill>
            </c:spPr>
          </c:dPt>
          <c:dLbls>
            <c:numFmt formatCode="0.0%" sourceLinked="0"/>
            <c:spPr>
              <a:noFill/>
              <a:ln>
                <a:noFill/>
              </a:ln>
            </c:spPr>
            <c:txPr>
              <a:bodyPr vert="horz" rot="0" anchor="ctr"/>
              <a:lstStyle/>
              <a:p>
                <a:pPr algn="ctr">
                  <a:defRPr lang="en-US" cap="none" sz="1175" b="0" i="0" u="none" baseline="0">
                    <a:solidFill>
                      <a:srgbClr val="3C3C3C"/>
                    </a:solidFill>
                    <a:latin typeface="Arial"/>
                    <a:ea typeface="Arial"/>
                    <a:cs typeface="Arial"/>
                  </a:defRPr>
                </a:pPr>
              </a:p>
            </c:txPr>
            <c:showLegendKey val="0"/>
            <c:showVal val="0"/>
            <c:showBubbleSize val="0"/>
            <c:showCatName val="1"/>
            <c:showSerName val="0"/>
            <c:showLeaderLines val="0"/>
            <c:showPercent val="1"/>
            <c:separator>
</c:separator>
          </c:dLbls>
          <c:cat>
            <c:strRef>
              <c:f>'5. All Dept no detail'!$A$8:$A$18</c:f>
              <c:strCache/>
            </c:strRef>
          </c:cat>
          <c:val>
            <c:numRef>
              <c:f>'5. All Dept no detail'!$F$8:$F$18</c:f>
              <c:numCache/>
            </c:numRef>
          </c:val>
        </c:ser>
        <c:ser>
          <c:idx val="1"/>
          <c:order val="1"/>
          <c:spPr>
            <a:solidFill>
              <a:srgbClr val="993366"/>
            </a:solidFill>
          </c:spPr>
          <c:explosion val="0"/>
          <c:extLst>
            <c:ext xmlns:c14="http://schemas.microsoft.com/office/drawing/2007/8/2/chart" uri="{6F2FDCE9-48DA-4B69-8628-5D25D57E5C99}">
              <c14:invertSolidFillFmt>
                <c14:spPr>
                  <a:solidFill>
                    <a:srgbClr val="3C3C3C"/>
                  </a:solidFill>
                </c14:spPr>
              </c14:invertSolidFillFmt>
            </c:ext>
          </c:extLst>
          <c:dPt>
            <c:idx val="0"/>
            <c:spPr>
              <a:solidFill>
                <a:srgbClr val="9999FF"/>
              </a:solidFill>
            </c:spPr>
          </c:dPt>
          <c:dPt>
            <c:idx val="1"/>
            <c:spPr>
              <a:solidFill>
                <a:srgbClr val="993366"/>
              </a:solidFill>
            </c:spPr>
          </c:dPt>
          <c:dPt>
            <c:idx val="2"/>
            <c:spPr>
              <a:solidFill>
                <a:srgbClr val="FFFFCC"/>
              </a:solidFill>
            </c:spPr>
          </c:dPt>
          <c:dPt>
            <c:idx val="3"/>
            <c:spPr>
              <a:solidFill>
                <a:srgbClr val="CCFFFF"/>
              </a:solidFill>
            </c:spPr>
          </c:dPt>
          <c:dPt>
            <c:idx val="4"/>
            <c:spPr>
              <a:solidFill>
                <a:srgbClr val="660066"/>
              </a:solidFill>
            </c:spPr>
          </c:dPt>
          <c:dPt>
            <c:idx val="5"/>
            <c:spPr>
              <a:solidFill>
                <a:srgbClr val="FF8080"/>
              </a:solidFill>
            </c:spPr>
          </c:dPt>
          <c:dPt>
            <c:idx val="6"/>
            <c:spPr>
              <a:solidFill>
                <a:srgbClr val="0066CC"/>
              </a:solidFill>
            </c:spPr>
          </c:dPt>
          <c:dPt>
            <c:idx val="7"/>
            <c:spPr>
              <a:solidFill>
                <a:srgbClr val="CCCCFF"/>
              </a:solidFill>
            </c:spPr>
          </c:dPt>
          <c:dPt>
            <c:idx val="8"/>
            <c:spPr>
              <a:solidFill>
                <a:srgbClr val="000080"/>
              </a:solidFill>
            </c:spPr>
          </c:dPt>
          <c:dPt>
            <c:idx val="9"/>
            <c:spPr>
              <a:solidFill>
                <a:srgbClr val="FF00FF"/>
              </a:solidFill>
            </c:spPr>
          </c:dPt>
          <c:dPt>
            <c:idx val="10"/>
            <c:spPr>
              <a:solidFill>
                <a:srgbClr val="FFFF00"/>
              </a:solidFill>
            </c:spPr>
          </c:dPt>
          <c:dLbls>
            <c:numFmt formatCode="General" sourceLinked="1"/>
            <c:spPr>
              <a:noFill/>
              <a:ln>
                <a:noFill/>
              </a:ln>
            </c:spPr>
            <c:txPr>
              <a:bodyPr vert="horz" rot="0" anchor="ctr"/>
              <a:lstStyle/>
              <a:p>
                <a:pPr algn="ctr">
                  <a:defRPr lang="en-US" cap="none" sz="2050" b="0" i="0" u="none" baseline="0">
                    <a:solidFill>
                      <a:srgbClr val="3C3C3C"/>
                    </a:solidFill>
                    <a:latin typeface="Arial"/>
                    <a:ea typeface="Arial"/>
                    <a:cs typeface="Arial"/>
                  </a:defRPr>
                </a:pPr>
              </a:p>
            </c:txPr>
            <c:showLegendKey val="0"/>
            <c:showVal val="0"/>
            <c:showBubbleSize val="0"/>
            <c:showCatName val="1"/>
            <c:showSerName val="0"/>
            <c:showLeaderLines val="0"/>
            <c:showPercent val="1"/>
            <c:separator>
</c:separator>
          </c:dLbls>
          <c:cat>
            <c:strRef>
              <c:f>'5. All Dept no detail'!$A$8:$A$18</c:f>
              <c:strCache/>
            </c:strRef>
          </c:cat>
          <c:val>
            <c:numRef>
              <c:f>'5. All Dept no detail'!$F$8:$F$18</c:f>
              <c:numCache/>
            </c:numRef>
          </c:val>
        </c:ser>
      </c:pieChart>
      <c:spPr>
        <a:noFill/>
        <a:ln>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3C3C3C"/>
                </a:solidFill>
                <a:latin typeface="Arial"/>
                <a:ea typeface="Arial"/>
                <a:cs typeface="Arial"/>
              </a:rPr>
              <a:t>Annual Budget</a:t>
            </a:r>
          </a:p>
        </c:rich>
      </c:tx>
      <c:layout/>
      <c:spPr>
        <a:noFill/>
        <a:ln>
          <a:noFill/>
        </a:ln>
      </c:spPr>
    </c:title>
    <c:plotArea>
      <c:layout/>
      <c:pieChart>
        <c:varyColors val="1"/>
        <c:ser>
          <c:idx val="0"/>
          <c:order val="0"/>
          <c:tx>
            <c:strRef>
              <c:f>'2. Proposed Budget'!$B$2:$B$2</c:f>
            </c:strRef>
          </c:tx>
          <c:spPr>
            <a:solidFill>
              <a:srgbClr val="9999FF"/>
            </a:solidFill>
          </c:spPr>
          <c:explosion val="0"/>
          <c:extLst>
            <c:ext xmlns:c14="http://schemas.microsoft.com/office/drawing/2007/8/2/chart" uri="{6F2FDCE9-48DA-4B69-8628-5D25D57E5C99}">
              <c14:invertSolidFillFmt>
                <c14:spPr>
                  <a:solidFill>
                    <a:srgbClr val="3C3C3C"/>
                  </a:solidFill>
                </c14:spPr>
              </c14:invertSolidFillFmt>
            </c:ext>
          </c:extLst>
          <c:dPt>
            <c:idx val="0"/>
            <c:spPr>
              <a:solidFill>
                <a:srgbClr val="9999FF"/>
              </a:solidFill>
            </c:spPr>
          </c:dPt>
          <c:dPt>
            <c:idx val="1"/>
            <c:spPr>
              <a:solidFill>
                <a:srgbClr val="993366"/>
              </a:solidFill>
            </c:spPr>
          </c:dPt>
          <c:dPt>
            <c:idx val="2"/>
            <c:spPr>
              <a:solidFill>
                <a:srgbClr val="FFFFCC"/>
              </a:solidFill>
            </c:spPr>
          </c:dPt>
          <c:dPt>
            <c:idx val="3"/>
            <c:spPr>
              <a:solidFill>
                <a:srgbClr val="CCFFFF"/>
              </a:solidFill>
            </c:spPr>
          </c:dPt>
          <c:dPt>
            <c:idx val="4"/>
            <c:spPr>
              <a:solidFill>
                <a:srgbClr val="660066"/>
              </a:solidFill>
            </c:spPr>
          </c:dPt>
          <c:dPt>
            <c:idx val="5"/>
            <c:spPr>
              <a:solidFill>
                <a:srgbClr val="FF8080"/>
              </a:solidFill>
            </c:spPr>
          </c:dPt>
          <c:dPt>
            <c:idx val="6"/>
            <c:spPr>
              <a:solidFill>
                <a:srgbClr val="0066CC"/>
              </a:solidFill>
            </c:spPr>
          </c:dPt>
          <c:dPt>
            <c:idx val="7"/>
            <c:spPr>
              <a:solidFill>
                <a:srgbClr val="CCCCFF"/>
              </a:solidFill>
            </c:spPr>
          </c:dPt>
          <c:dPt>
            <c:idx val="8"/>
            <c:spPr>
              <a:solidFill>
                <a:srgbClr val="000080"/>
              </a:solidFill>
            </c:spPr>
          </c:dPt>
          <c:dPt>
            <c:idx val="9"/>
            <c:spPr>
              <a:solidFill>
                <a:srgbClr val="FF00FF"/>
              </a:solidFill>
            </c:spPr>
          </c:dPt>
          <c:dPt>
            <c:idx val="10"/>
            <c:spPr>
              <a:solidFill>
                <a:srgbClr val="FFFF00"/>
              </a:solidFill>
            </c:spPr>
          </c:dPt>
          <c:dLbls>
            <c:numFmt formatCode="0.0%" sourceLinked="0"/>
            <c:spPr>
              <a:noFill/>
              <a:ln>
                <a:noFill/>
              </a:ln>
            </c:spPr>
            <c:txPr>
              <a:bodyPr vert="horz" rot="0" anchor="ctr"/>
              <a:lstStyle/>
              <a:p>
                <a:pPr algn="ctr">
                  <a:defRPr lang="en-US" cap="none" sz="900" b="0" i="0" u="none" baseline="0">
                    <a:solidFill>
                      <a:srgbClr val="3C3C3C"/>
                    </a:solidFill>
                    <a:latin typeface="Arial"/>
                    <a:ea typeface="Arial"/>
                    <a:cs typeface="Arial"/>
                  </a:defRPr>
                </a:pPr>
              </a:p>
            </c:txPr>
            <c:showLegendKey val="0"/>
            <c:showVal val="0"/>
            <c:showBubbleSize val="0"/>
            <c:showCatName val="1"/>
            <c:showSerName val="0"/>
            <c:showLeaderLines val="0"/>
            <c:showPercent val="1"/>
            <c:separator>
</c:separator>
          </c:dLbls>
          <c:cat>
            <c:strRef>
              <c:f>'4. All Dept summary'!$A$8:$A$18</c:f>
              <c:strCache/>
            </c:strRef>
          </c:cat>
          <c:val>
            <c:numRef>
              <c:f>'4. All Dept summary'!$F$8:$F$18</c:f>
              <c:numCache/>
            </c:numRef>
          </c:val>
        </c:ser>
      </c:pieChart>
      <c:spPr>
        <a:noFill/>
        <a:ln>
          <a:noFill/>
        </a:ln>
      </c:spPr>
    </c:plotArea>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c:spPr>
          <c:explosion val="0"/>
          <c:extLst>
            <c:ext xmlns:c14="http://schemas.microsoft.com/office/drawing/2007/8/2/chart" uri="{6F2FDCE9-48DA-4B69-8628-5D25D57E5C99}">
              <c14:invertSolidFillFmt>
                <c14:spPr>
                  <a:solidFill>
                    <a:srgbClr val="3C3C3C"/>
                  </a:solidFill>
                </c14:spPr>
              </c14:invertSolidFillFmt>
            </c:ext>
          </c:extLst>
          <c:dPt>
            <c:idx val="0"/>
            <c:spPr>
              <a:solidFill>
                <a:srgbClr val="9999FF"/>
              </a:solidFill>
            </c:spPr>
          </c:dPt>
          <c:dPt>
            <c:idx val="1"/>
            <c:spPr>
              <a:solidFill>
                <a:srgbClr val="993366"/>
              </a:solidFill>
            </c:spPr>
          </c:dPt>
          <c:dPt>
            <c:idx val="2"/>
            <c:spPr>
              <a:solidFill>
                <a:srgbClr val="FFFFCC"/>
              </a:solidFill>
            </c:spPr>
          </c:dPt>
          <c:dPt>
            <c:idx val="3"/>
            <c:spPr>
              <a:solidFill>
                <a:srgbClr val="CCFFFF"/>
              </a:solidFill>
            </c:spPr>
          </c:dPt>
          <c:dPt>
            <c:idx val="4"/>
            <c:spPr>
              <a:solidFill>
                <a:srgbClr val="660066"/>
              </a:solidFill>
            </c:spPr>
          </c:dPt>
          <c:dPt>
            <c:idx val="5"/>
            <c:spPr>
              <a:solidFill>
                <a:srgbClr val="FF8080"/>
              </a:solidFill>
            </c:spPr>
          </c:dPt>
          <c:dPt>
            <c:idx val="6"/>
            <c:spPr>
              <a:solidFill>
                <a:srgbClr val="0066CC"/>
              </a:solidFill>
            </c:spPr>
          </c:dPt>
          <c:dPt>
            <c:idx val="7"/>
            <c:spPr>
              <a:solidFill>
                <a:srgbClr val="CCCCFF"/>
              </a:solidFill>
            </c:spPr>
          </c:dPt>
          <c:dPt>
            <c:idx val="8"/>
            <c:spPr>
              <a:solidFill>
                <a:srgbClr val="000080"/>
              </a:solidFill>
            </c:spPr>
          </c:dPt>
          <c:dPt>
            <c:idx val="9"/>
            <c:spPr>
              <a:solidFill>
                <a:srgbClr val="FF00FF"/>
              </a:solidFill>
            </c:spPr>
          </c:dPt>
          <c:dLbls>
            <c:numFmt formatCode="0.0%" sourceLinked="0"/>
            <c:spPr>
              <a:noFill/>
              <a:ln>
                <a:noFill/>
              </a:ln>
            </c:spPr>
            <c:txPr>
              <a:bodyPr vert="horz" rot="0" anchor="ctr"/>
              <a:lstStyle/>
              <a:p>
                <a:pPr algn="ctr">
                  <a:defRPr lang="en-US" cap="none" sz="1200" b="0" i="0" u="none" baseline="0">
                    <a:solidFill>
                      <a:srgbClr val="3C3C3C"/>
                    </a:solidFill>
                    <a:latin typeface="Arial"/>
                    <a:ea typeface="Arial"/>
                    <a:cs typeface="Arial"/>
                  </a:defRPr>
                </a:pPr>
              </a:p>
            </c:txPr>
            <c:showLegendKey val="0"/>
            <c:showVal val="0"/>
            <c:showBubbleSize val="0"/>
            <c:showCatName val="1"/>
            <c:showSerName val="0"/>
            <c:showLeaderLines val="0"/>
            <c:showPercent val="1"/>
            <c:separator>
</c:separator>
          </c:dLbls>
          <c:cat>
            <c:numRef>
              <c:f>'7. GF Dept summary'!$A$7:$A$16</c:f>
              <c:numCache/>
            </c:numRef>
          </c:cat>
          <c:val>
            <c:numRef>
              <c:f>'7. GF Dept summary'!$D$7:$D$16</c:f>
              <c:numCache/>
            </c:numRef>
          </c:val>
        </c:ser>
      </c:pieChart>
      <c:spPr>
        <a:noFill/>
        <a:ln>
          <a:noFill/>
        </a:ln>
      </c:spPr>
    </c:plotArea>
    <c:plotVisOnly val="1"/>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c:spPr>
          <c:explosion val="0"/>
          <c:extLst>
            <c:ext xmlns:c14="http://schemas.microsoft.com/office/drawing/2007/8/2/chart" uri="{6F2FDCE9-48DA-4B69-8628-5D25D57E5C99}">
              <c14:invertSolidFillFmt>
                <c14:spPr>
                  <a:solidFill>
                    <a:srgbClr val="3C3C3C"/>
                  </a:solidFill>
                </c14:spPr>
              </c14:invertSolidFillFmt>
            </c:ext>
          </c:extLst>
          <c:dPt>
            <c:idx val="0"/>
            <c:spPr>
              <a:solidFill>
                <a:srgbClr val="9999FF"/>
              </a:solidFill>
            </c:spPr>
          </c:dPt>
          <c:dPt>
            <c:idx val="1"/>
            <c:spPr>
              <a:solidFill>
                <a:srgbClr val="993366"/>
              </a:solidFill>
            </c:spPr>
          </c:dPt>
          <c:dPt>
            <c:idx val="2"/>
            <c:spPr>
              <a:solidFill>
                <a:srgbClr val="FFFFCC"/>
              </a:solidFill>
            </c:spPr>
          </c:dPt>
          <c:dPt>
            <c:idx val="3"/>
            <c:spPr>
              <a:solidFill>
                <a:srgbClr val="CCFFFF"/>
              </a:solidFill>
            </c:spPr>
          </c:dPt>
          <c:dPt>
            <c:idx val="4"/>
            <c:spPr>
              <a:solidFill>
                <a:srgbClr val="660066"/>
              </a:solidFill>
            </c:spPr>
          </c:dPt>
          <c:dPt>
            <c:idx val="5"/>
            <c:spPr>
              <a:solidFill>
                <a:srgbClr val="FF8080"/>
              </a:solidFill>
            </c:spPr>
          </c:dPt>
          <c:dPt>
            <c:idx val="6"/>
            <c:spPr>
              <a:solidFill>
                <a:srgbClr val="0066CC"/>
              </a:solidFill>
            </c:spPr>
          </c:dPt>
          <c:dPt>
            <c:idx val="7"/>
            <c:spPr>
              <a:solidFill>
                <a:srgbClr val="CCCCFF"/>
              </a:solidFill>
            </c:spPr>
          </c:dPt>
          <c:dPt>
            <c:idx val="8"/>
            <c:spPr>
              <a:solidFill>
                <a:srgbClr val="000080"/>
              </a:solidFill>
            </c:spPr>
          </c:dPt>
          <c:dPt>
            <c:idx val="9"/>
            <c:spPr>
              <a:solidFill>
                <a:srgbClr val="FF00FF"/>
              </a:solidFill>
            </c:spPr>
          </c:dPt>
          <c:dLbls>
            <c:numFmt formatCode="0.0%" sourceLinked="0"/>
            <c:spPr>
              <a:noFill/>
              <a:ln>
                <a:noFill/>
              </a:ln>
            </c:spPr>
            <c:txPr>
              <a:bodyPr vert="horz" rot="0" anchor="ctr"/>
              <a:lstStyle/>
              <a:p>
                <a:pPr algn="ctr">
                  <a:defRPr lang="en-US" cap="none" sz="1150" b="0" i="0" u="none" baseline="0">
                    <a:solidFill>
                      <a:srgbClr val="3C3C3C"/>
                    </a:solidFill>
                    <a:latin typeface="Arial"/>
                    <a:ea typeface="Arial"/>
                    <a:cs typeface="Arial"/>
                  </a:defRPr>
                </a:pPr>
              </a:p>
            </c:txPr>
            <c:showLegendKey val="0"/>
            <c:showVal val="0"/>
            <c:showBubbleSize val="0"/>
            <c:showCatName val="1"/>
            <c:showSerName val="0"/>
            <c:showLeaderLines val="0"/>
            <c:showPercent val="1"/>
            <c:separator>
</c:separator>
          </c:dLbls>
          <c:cat>
            <c:numRef>
              <c:f>'8. GF Dept no detail'!$A$7:$A$16</c:f>
              <c:numCache/>
            </c:numRef>
          </c:cat>
          <c:val>
            <c:numRef>
              <c:f>'8. GF Dept no detail'!$B$7:$B$16</c:f>
              <c:numCache/>
            </c:numRef>
          </c:val>
        </c:ser>
      </c:pieChart>
      <c:spPr>
        <a:noFill/>
        <a:ln>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20</xdr:row>
      <xdr:rowOff>66675</xdr:rowOff>
    </xdr:from>
    <xdr:to>
      <xdr:col>7</xdr:col>
      <xdr:colOff>533400</xdr:colOff>
      <xdr:row>54</xdr:row>
      <xdr:rowOff>133350</xdr:rowOff>
    </xdr:to>
    <xdr:graphicFrame>
      <xdr:nvGraphicFramePr>
        <xdr:cNvPr id="1" name="Chart 1"/>
        <xdr:cNvGraphicFramePr/>
      </xdr:nvGraphicFramePr>
      <xdr:xfrm>
        <a:off x="85725" y="4038600"/>
        <a:ext cx="7534275" cy="5572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20</xdr:row>
      <xdr:rowOff>47625</xdr:rowOff>
    </xdr:from>
    <xdr:to>
      <xdr:col>7</xdr:col>
      <xdr:colOff>581025</xdr:colOff>
      <xdr:row>54</xdr:row>
      <xdr:rowOff>133350</xdr:rowOff>
    </xdr:to>
    <xdr:graphicFrame>
      <xdr:nvGraphicFramePr>
        <xdr:cNvPr id="1" name="Chart 1"/>
        <xdr:cNvGraphicFramePr/>
      </xdr:nvGraphicFramePr>
      <xdr:xfrm>
        <a:off x="85725" y="4010025"/>
        <a:ext cx="7305675" cy="5591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1</xdr:row>
      <xdr:rowOff>19050</xdr:rowOff>
    </xdr:from>
    <xdr:to>
      <xdr:col>9</xdr:col>
      <xdr:colOff>619125</xdr:colOff>
      <xdr:row>34</xdr:row>
      <xdr:rowOff>85725</xdr:rowOff>
    </xdr:to>
    <xdr:graphicFrame>
      <xdr:nvGraphicFramePr>
        <xdr:cNvPr id="1" name="Chart 1"/>
        <xdr:cNvGraphicFramePr/>
      </xdr:nvGraphicFramePr>
      <xdr:xfrm>
        <a:off x="342900" y="180975"/>
        <a:ext cx="7219950" cy="5410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18</xdr:row>
      <xdr:rowOff>57150</xdr:rowOff>
    </xdr:from>
    <xdr:to>
      <xdr:col>5</xdr:col>
      <xdr:colOff>552450</xdr:colOff>
      <xdr:row>48</xdr:row>
      <xdr:rowOff>95250</xdr:rowOff>
    </xdr:to>
    <xdr:graphicFrame>
      <xdr:nvGraphicFramePr>
        <xdr:cNvPr id="1" name="Chart 1"/>
        <xdr:cNvGraphicFramePr/>
      </xdr:nvGraphicFramePr>
      <xdr:xfrm>
        <a:off x="85725" y="3638550"/>
        <a:ext cx="6610350" cy="4924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18</xdr:row>
      <xdr:rowOff>57150</xdr:rowOff>
    </xdr:from>
    <xdr:to>
      <xdr:col>3</xdr:col>
      <xdr:colOff>552450</xdr:colOff>
      <xdr:row>48</xdr:row>
      <xdr:rowOff>95250</xdr:rowOff>
    </xdr:to>
    <xdr:graphicFrame>
      <xdr:nvGraphicFramePr>
        <xdr:cNvPr id="1" name="Chart 1"/>
        <xdr:cNvGraphicFramePr/>
      </xdr:nvGraphicFramePr>
      <xdr:xfrm>
        <a:off x="85725" y="3600450"/>
        <a:ext cx="6324600" cy="4924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1. Instructions"/>
  <dimension ref="A1:A15"/>
  <sheetViews>
    <sheetView workbookViewId="0" topLeftCell="A1">
      <selection activeCell="A1" sqref="A1"/>
    </sheetView>
  </sheetViews>
  <sheetFormatPr defaultColWidth="9.140625" defaultRowHeight="12.75"/>
  <cols>
    <col min="1" max="1" width="121.140625" style="0" customWidth="1"/>
  </cols>
  <sheetData>
    <row r="1" ht="18">
      <c r="A1" s="1" t="s">
        <v>0</v>
      </c>
    </row>
    <row r="2" ht="18">
      <c r="A2" s="1"/>
    </row>
    <row r="3" ht="40.5" customHeight="1">
      <c r="A3" s="2" t="s">
        <v>1</v>
      </c>
    </row>
    <row r="5" s="3" customFormat="1" ht="12.75">
      <c r="A5" s="3" t="s">
        <v>2</v>
      </c>
    </row>
    <row r="6" s="3" customFormat="1" ht="12.75">
      <c r="A6" s="3" t="s">
        <v>3</v>
      </c>
    </row>
    <row r="7" s="3" customFormat="1" ht="38.25">
      <c r="A7" s="2" t="s">
        <v>4</v>
      </c>
    </row>
    <row r="8" s="3" customFormat="1" ht="51">
      <c r="A8" s="2" t="s">
        <v>5</v>
      </c>
    </row>
    <row r="9" s="3" customFormat="1" ht="12.75">
      <c r="A9" s="3" t="s">
        <v>6</v>
      </c>
    </row>
    <row r="10" s="3" customFormat="1" ht="12.75">
      <c r="A10" s="3" t="s">
        <v>7</v>
      </c>
    </row>
    <row r="11" s="3" customFormat="1" ht="12.75">
      <c r="A11" s="3" t="s">
        <v>8</v>
      </c>
    </row>
    <row r="12" s="3" customFormat="1" ht="12.75">
      <c r="A12" s="3" t="s">
        <v>9</v>
      </c>
    </row>
    <row r="13" s="3" customFormat="1" ht="12.75">
      <c r="A13" s="3" t="s">
        <v>10</v>
      </c>
    </row>
    <row r="14" s="3" customFormat="1" ht="12.75"/>
    <row r="15" ht="12.75">
      <c r="A15" t="s">
        <v>11</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codeName="Sheet1"/>
  <dimension ref="B1:Q173"/>
  <sheetViews>
    <sheetView tabSelected="1" workbookViewId="0" topLeftCell="A1">
      <selection activeCell="M30" sqref="M30"/>
    </sheetView>
  </sheetViews>
  <sheetFormatPr defaultColWidth="9.140625" defaultRowHeight="12.75"/>
  <cols>
    <col min="1" max="1" width="6.00390625" style="4" customWidth="1"/>
    <col min="2" max="2" width="17.57421875" style="5" customWidth="1"/>
    <col min="3" max="3" width="8.57421875" style="4" customWidth="1"/>
    <col min="4" max="4" width="26.28125" style="4" customWidth="1"/>
    <col min="5" max="5" width="0" style="6" hidden="1" customWidth="1"/>
    <col min="6" max="6" width="9.28125" style="6" customWidth="1"/>
    <col min="7" max="7" width="9.28125" style="4" customWidth="1"/>
    <col min="8" max="8" width="8.7109375" style="4" customWidth="1"/>
    <col min="9" max="9" width="8.00390625" style="4" customWidth="1"/>
    <col min="10" max="10" width="8.421875" style="4" customWidth="1"/>
    <col min="11" max="11" width="10.421875" style="4" customWidth="1"/>
    <col min="12" max="12" width="47.28125" style="7" customWidth="1"/>
    <col min="13" max="13" width="8.00390625" style="4" customWidth="1"/>
    <col min="14" max="14" width="10.8515625" style="4" customWidth="1"/>
    <col min="15" max="16384" width="9.00390625" style="4" customWidth="1"/>
  </cols>
  <sheetData>
    <row r="1" ht="12.75">
      <c r="B1" s="8"/>
    </row>
    <row r="2" ht="12.75">
      <c r="B2" s="8" t="s">
        <v>12</v>
      </c>
    </row>
    <row r="3" ht="12.75">
      <c r="B3" s="4" t="s">
        <v>13</v>
      </c>
    </row>
    <row r="4" ht="13.5" customHeight="1">
      <c r="B4" s="9" t="s">
        <v>14</v>
      </c>
    </row>
    <row r="5" spans="5:12" s="10" customFormat="1" ht="13.5">
      <c r="E5" s="11"/>
      <c r="F5" s="12"/>
      <c r="G5" s="13"/>
      <c r="J5" s="13" t="s">
        <v>15</v>
      </c>
      <c r="K5" s="13" t="s">
        <v>15</v>
      </c>
      <c r="L5" s="14"/>
    </row>
    <row r="6" spans="2:14" s="10" customFormat="1" ht="12.75">
      <c r="B6" s="13" t="s">
        <v>16</v>
      </c>
      <c r="C6" s="10" t="s">
        <v>17</v>
      </c>
      <c r="D6" s="10" t="s">
        <v>18</v>
      </c>
      <c r="E6" s="12" t="s">
        <v>19</v>
      </c>
      <c r="F6" s="13" t="s">
        <v>20</v>
      </c>
      <c r="G6" s="13" t="s">
        <v>21</v>
      </c>
      <c r="H6" s="13" t="s">
        <v>22</v>
      </c>
      <c r="I6" s="13" t="s">
        <v>23</v>
      </c>
      <c r="J6" s="13" t="s">
        <v>24</v>
      </c>
      <c r="K6" s="13" t="s">
        <v>25</v>
      </c>
      <c r="L6" s="15" t="s">
        <v>26</v>
      </c>
      <c r="N6" s="16" t="s">
        <v>27</v>
      </c>
    </row>
    <row r="7" spans="5:6" ht="12.75">
      <c r="E7" s="17" t="s">
        <v>28</v>
      </c>
      <c r="F7" s="17"/>
    </row>
    <row r="8" spans="2:6" ht="12.75">
      <c r="B8" s="5">
        <f aca="true" t="shared" si="0" ref="B8:B173">ROW()-6</f>
        <v>2</v>
      </c>
      <c r="D8" s="11" t="s">
        <v>29</v>
      </c>
      <c r="E8" s="17"/>
      <c r="F8" s="17"/>
    </row>
    <row r="9" spans="2:11" ht="12.75">
      <c r="B9" s="5">
        <f t="shared" si="0"/>
        <v>3</v>
      </c>
      <c r="C9" s="4">
        <v>5001</v>
      </c>
      <c r="D9" s="6" t="s">
        <v>30</v>
      </c>
      <c r="F9" s="18">
        <f>'3. Wages and Benefits'!D9+'3. Wages and Benefits'!E9</f>
        <v>63900</v>
      </c>
      <c r="G9" s="18">
        <v>62000</v>
      </c>
      <c r="H9" s="19">
        <f aca="true" t="shared" si="1" ref="H9:H13">F9-G9</f>
        <v>1900</v>
      </c>
      <c r="I9" s="20">
        <f aca="true" t="shared" si="2" ref="I9:I13">H9/G9</f>
        <v>0.03064516129032258</v>
      </c>
      <c r="J9" s="20"/>
      <c r="K9" s="20"/>
    </row>
    <row r="10" spans="2:11" ht="12.75">
      <c r="B10" s="5">
        <f t="shared" si="0"/>
        <v>4</v>
      </c>
      <c r="C10" s="4">
        <v>5002</v>
      </c>
      <c r="D10" s="6" t="s">
        <v>31</v>
      </c>
      <c r="F10" s="18">
        <f>'3. Wages and Benefits'!D10+'3. Wages and Benefits'!E10</f>
        <v>42600</v>
      </c>
      <c r="G10" s="18">
        <v>41300</v>
      </c>
      <c r="H10" s="19">
        <f t="shared" si="1"/>
        <v>1300</v>
      </c>
      <c r="I10" s="20">
        <f t="shared" si="2"/>
        <v>0.031476997578692496</v>
      </c>
      <c r="J10" s="20"/>
      <c r="K10" s="20"/>
    </row>
    <row r="11" spans="2:12" ht="12.75">
      <c r="B11" s="5">
        <f t="shared" si="0"/>
        <v>5</v>
      </c>
      <c r="C11" s="4">
        <v>5010</v>
      </c>
      <c r="D11" s="6" t="s">
        <v>32</v>
      </c>
      <c r="E11" s="21"/>
      <c r="F11" s="21">
        <f>'3. Wages and Benefits'!D22</f>
        <v>138000</v>
      </c>
      <c r="G11" s="21">
        <v>133800</v>
      </c>
      <c r="H11" s="22">
        <f t="shared" si="1"/>
        <v>4200</v>
      </c>
      <c r="I11" s="20">
        <f t="shared" si="2"/>
        <v>0.03139013452914798</v>
      </c>
      <c r="J11" s="20"/>
      <c r="K11" s="20"/>
      <c r="L11" s="23"/>
    </row>
    <row r="12" spans="2:15" ht="12.75">
      <c r="B12" s="5">
        <f t="shared" si="0"/>
        <v>6</v>
      </c>
      <c r="C12" s="4">
        <v>5020</v>
      </c>
      <c r="D12" s="24" t="s">
        <v>33</v>
      </c>
      <c r="E12" s="21">
        <f>+H20/8*12</f>
        <v>90</v>
      </c>
      <c r="F12" s="25">
        <f>'3. Wages and Benefits'!D34</f>
        <v>83120</v>
      </c>
      <c r="G12" s="25">
        <v>80000</v>
      </c>
      <c r="H12" s="26">
        <f t="shared" si="1"/>
        <v>3120</v>
      </c>
      <c r="I12" s="27">
        <f t="shared" si="2"/>
        <v>0.039</v>
      </c>
      <c r="J12" s="20"/>
      <c r="K12" s="20"/>
      <c r="L12" s="28"/>
      <c r="M12" s="4">
        <v>20</v>
      </c>
      <c r="N12" s="4" t="s">
        <v>34</v>
      </c>
      <c r="O12" s="4">
        <v>664389.84</v>
      </c>
    </row>
    <row r="13" spans="2:14" ht="12.75">
      <c r="B13" s="5">
        <f t="shared" si="0"/>
        <v>7</v>
      </c>
      <c r="D13" s="11" t="s">
        <v>35</v>
      </c>
      <c r="E13" s="21"/>
      <c r="F13" s="29">
        <f>SUM(F9:F12)</f>
        <v>327620</v>
      </c>
      <c r="G13" s="29">
        <f>SUM(G9:G12)</f>
        <v>317100</v>
      </c>
      <c r="H13" s="22">
        <f t="shared" si="1"/>
        <v>10520</v>
      </c>
      <c r="I13" s="20">
        <f t="shared" si="2"/>
        <v>0.03317565436770735</v>
      </c>
      <c r="J13" s="20">
        <f>F13/F$159</f>
        <v>0.46907561521252794</v>
      </c>
      <c r="K13" s="20">
        <f>F13/F$173</f>
        <v>0.46574144824522434</v>
      </c>
      <c r="L13" s="28"/>
      <c r="N13" s="6"/>
    </row>
    <row r="14" spans="2:14" ht="12.75">
      <c r="B14" s="5">
        <f t="shared" si="0"/>
        <v>8</v>
      </c>
      <c r="D14" s="11" t="s">
        <v>36</v>
      </c>
      <c r="E14" s="21"/>
      <c r="F14" s="21"/>
      <c r="G14" s="21"/>
      <c r="H14" s="22"/>
      <c r="I14" s="20"/>
      <c r="J14" s="20"/>
      <c r="K14" s="20"/>
      <c r="L14" s="28"/>
      <c r="N14" s="6"/>
    </row>
    <row r="15" spans="2:11" ht="12.75">
      <c r="B15" s="5">
        <f t="shared" si="0"/>
        <v>9</v>
      </c>
      <c r="C15" s="4">
        <v>5051</v>
      </c>
      <c r="D15" s="6" t="s">
        <v>37</v>
      </c>
      <c r="E15" s="21">
        <f>+H26/8*12</f>
        <v>0</v>
      </c>
      <c r="F15" s="21">
        <f>+'3. Wages and Benefits'!I36</f>
        <v>4800</v>
      </c>
      <c r="G15" s="21">
        <v>4000</v>
      </c>
      <c r="H15" s="22">
        <f aca="true" t="shared" si="3" ref="H15:H24">F15-G15</f>
        <v>800</v>
      </c>
      <c r="I15" s="20">
        <f aca="true" t="shared" si="4" ref="I15:I24">H15/G15</f>
        <v>0.2</v>
      </c>
      <c r="J15" s="20"/>
      <c r="K15" s="20"/>
    </row>
    <row r="16" spans="2:12" ht="12.75">
      <c r="B16" s="5">
        <f t="shared" si="0"/>
        <v>10</v>
      </c>
      <c r="C16" s="4">
        <v>5052</v>
      </c>
      <c r="D16" s="6" t="s">
        <v>38</v>
      </c>
      <c r="E16" s="21">
        <f>+H25/8*12</f>
        <v>0</v>
      </c>
      <c r="F16" s="21">
        <f>'3. Wages and Benefits'!F36</f>
        <v>42402</v>
      </c>
      <c r="G16" s="21">
        <v>38000</v>
      </c>
      <c r="H16" s="22">
        <f t="shared" si="3"/>
        <v>4402</v>
      </c>
      <c r="I16" s="20">
        <f t="shared" si="4"/>
        <v>0.1158421052631579</v>
      </c>
      <c r="J16" s="20"/>
      <c r="K16" s="20"/>
      <c r="L16" s="30"/>
    </row>
    <row r="17" spans="2:12" ht="12.75">
      <c r="B17" s="5">
        <f t="shared" si="0"/>
        <v>11</v>
      </c>
      <c r="C17" s="4">
        <v>5053</v>
      </c>
      <c r="D17" s="6" t="s">
        <v>39</v>
      </c>
      <c r="E17" s="21">
        <f>+H29/8*12</f>
        <v>0</v>
      </c>
      <c r="F17" s="21">
        <f>+'3. Wages and Benefits'!G36</f>
        <v>10576</v>
      </c>
      <c r="G17" s="21">
        <v>10000</v>
      </c>
      <c r="H17" s="22">
        <f t="shared" si="3"/>
        <v>576</v>
      </c>
      <c r="I17" s="20">
        <f t="shared" si="4"/>
        <v>0.0576</v>
      </c>
      <c r="J17" s="20"/>
      <c r="K17" s="20"/>
      <c r="L17" s="31"/>
    </row>
    <row r="18" spans="2:15" ht="12.75">
      <c r="B18" s="5">
        <f t="shared" si="0"/>
        <v>12</v>
      </c>
      <c r="C18" s="4">
        <v>5054</v>
      </c>
      <c r="D18" s="6" t="s">
        <v>40</v>
      </c>
      <c r="E18" s="21">
        <f aca="true" t="shared" si="5" ref="E18:E19">+H27/8*12</f>
        <v>0</v>
      </c>
      <c r="F18" s="21">
        <f>+'3. Wages and Benefits'!J36</f>
        <v>9000</v>
      </c>
      <c r="G18" s="21">
        <v>6000</v>
      </c>
      <c r="H18" s="22">
        <f t="shared" si="3"/>
        <v>3000</v>
      </c>
      <c r="I18" s="20">
        <f t="shared" si="4"/>
        <v>0.5</v>
      </c>
      <c r="J18" s="20"/>
      <c r="K18" s="20"/>
      <c r="O18" s="4" t="s">
        <v>41</v>
      </c>
    </row>
    <row r="19" spans="2:11" ht="12.75">
      <c r="B19" s="5">
        <f t="shared" si="0"/>
        <v>13</v>
      </c>
      <c r="C19" s="4">
        <v>5055</v>
      </c>
      <c r="D19" s="6" t="s">
        <v>42</v>
      </c>
      <c r="E19" s="21">
        <f t="shared" si="5"/>
        <v>0</v>
      </c>
      <c r="F19" s="21">
        <f>+'3. Wages and Benefits'!E36-'3. Wages and Benefits'!E11</f>
        <v>16736</v>
      </c>
      <c r="G19" s="21">
        <v>15000</v>
      </c>
      <c r="H19" s="22">
        <f t="shared" si="3"/>
        <v>1736</v>
      </c>
      <c r="I19" s="20">
        <f t="shared" si="4"/>
        <v>0.11573333333333333</v>
      </c>
      <c r="J19" s="20"/>
      <c r="K19" s="20"/>
    </row>
    <row r="20" spans="2:11" ht="12.75">
      <c r="B20" s="5">
        <f t="shared" si="0"/>
        <v>14</v>
      </c>
      <c r="C20" s="4">
        <v>5056</v>
      </c>
      <c r="D20" s="6" t="s">
        <v>43</v>
      </c>
      <c r="E20" s="21"/>
      <c r="F20" s="21">
        <f>+'3. Wages and Benefits'!K36</f>
        <v>2310</v>
      </c>
      <c r="G20" s="21">
        <v>2250</v>
      </c>
      <c r="H20" s="22">
        <f t="shared" si="3"/>
        <v>60</v>
      </c>
      <c r="I20" s="20">
        <f t="shared" si="4"/>
        <v>0.02666666666666667</v>
      </c>
      <c r="J20" s="20"/>
      <c r="K20" s="20"/>
    </row>
    <row r="21" spans="2:17" ht="12.75">
      <c r="B21" s="5">
        <f t="shared" si="0"/>
        <v>15</v>
      </c>
      <c r="C21" s="4">
        <v>5057</v>
      </c>
      <c r="D21" s="6" t="s">
        <v>44</v>
      </c>
      <c r="E21" s="21"/>
      <c r="F21" s="21">
        <f>'3. Wages and Benefits'!H36</f>
        <v>3000</v>
      </c>
      <c r="G21" s="21">
        <v>3000</v>
      </c>
      <c r="H21" s="22">
        <f t="shared" si="3"/>
        <v>0</v>
      </c>
      <c r="I21" s="20">
        <f t="shared" si="4"/>
        <v>0</v>
      </c>
      <c r="J21" s="20"/>
      <c r="K21" s="20"/>
      <c r="M21" s="32"/>
      <c r="N21" s="32"/>
      <c r="O21" s="4">
        <v>14.4</v>
      </c>
      <c r="P21" s="4">
        <v>3376</v>
      </c>
      <c r="Q21" s="4" t="s">
        <v>45</v>
      </c>
    </row>
    <row r="22" spans="2:14" ht="12.75">
      <c r="B22" s="5">
        <f t="shared" si="0"/>
        <v>16</v>
      </c>
      <c r="C22" s="4">
        <v>5058</v>
      </c>
      <c r="D22" s="6" t="s">
        <v>46</v>
      </c>
      <c r="E22" s="21"/>
      <c r="F22" s="25">
        <f>'3. Wages and Benefits'!L36</f>
        <v>2000</v>
      </c>
      <c r="G22" s="25">
        <v>2000</v>
      </c>
      <c r="H22" s="26">
        <f t="shared" si="3"/>
        <v>0</v>
      </c>
      <c r="I22" s="27">
        <f t="shared" si="4"/>
        <v>0</v>
      </c>
      <c r="J22" s="20"/>
      <c r="K22" s="20"/>
      <c r="L22" s="31"/>
      <c r="M22" s="33"/>
      <c r="N22" s="33"/>
    </row>
    <row r="23" spans="2:14" ht="12.75">
      <c r="B23" s="5">
        <f t="shared" si="0"/>
        <v>17</v>
      </c>
      <c r="D23" s="11" t="s">
        <v>47</v>
      </c>
      <c r="E23" s="21"/>
      <c r="F23" s="34">
        <f>SUM(F15:F22)</f>
        <v>90824</v>
      </c>
      <c r="G23" s="34">
        <f>SUM(G15:G22)</f>
        <v>80250</v>
      </c>
      <c r="H23" s="35">
        <f t="shared" si="3"/>
        <v>10574</v>
      </c>
      <c r="I23" s="36">
        <f t="shared" si="4"/>
        <v>0.1317632398753894</v>
      </c>
      <c r="J23" s="20">
        <f aca="true" t="shared" si="6" ref="J23:J24">F23/F$159</f>
        <v>0.13003883668903804</v>
      </c>
      <c r="K23" s="20">
        <f aca="true" t="shared" si="7" ref="K23:K24">F23/F$173</f>
        <v>0.12911452687694358</v>
      </c>
      <c r="L23" s="31"/>
      <c r="M23" s="33"/>
      <c r="N23" s="33"/>
    </row>
    <row r="24" spans="2:12" ht="12.75">
      <c r="B24" s="5">
        <f t="shared" si="0"/>
        <v>18</v>
      </c>
      <c r="D24" s="11" t="s">
        <v>48</v>
      </c>
      <c r="E24" s="29">
        <f>+H30/8*12</f>
        <v>0</v>
      </c>
      <c r="F24" s="29">
        <f>+F13+F23</f>
        <v>418444</v>
      </c>
      <c r="G24" s="29">
        <f>+G13+G23</f>
        <v>397350</v>
      </c>
      <c r="H24" s="22">
        <f t="shared" si="3"/>
        <v>21094</v>
      </c>
      <c r="I24" s="20">
        <f t="shared" si="4"/>
        <v>0.05308669938341513</v>
      </c>
      <c r="J24" s="20">
        <f t="shared" si="6"/>
        <v>0.599114451901566</v>
      </c>
      <c r="K24" s="20">
        <f t="shared" si="7"/>
        <v>0.5948559751221679</v>
      </c>
      <c r="L24" s="37"/>
    </row>
    <row r="25" spans="2:12" ht="12.75">
      <c r="B25" s="5">
        <f t="shared" si="0"/>
        <v>19</v>
      </c>
      <c r="D25" s="6"/>
      <c r="E25" s="29"/>
      <c r="F25" s="29">
        <f>+F24-'3. Wages and Benefits'!N36</f>
        <v>0</v>
      </c>
      <c r="G25" s="29"/>
      <c r="H25" s="22"/>
      <c r="I25" s="20"/>
      <c r="J25" s="20"/>
      <c r="K25" s="20"/>
      <c r="L25" s="37"/>
    </row>
    <row r="26" spans="2:11" ht="12.75">
      <c r="B26" s="5">
        <f t="shared" si="0"/>
        <v>20</v>
      </c>
      <c r="D26" s="11" t="s">
        <v>49</v>
      </c>
      <c r="E26" s="21">
        <f aca="true" t="shared" si="8" ref="E26:E31">+H32/8*12</f>
        <v>0</v>
      </c>
      <c r="F26" s="21"/>
      <c r="G26" s="21"/>
      <c r="H26" s="22"/>
      <c r="I26" s="20"/>
      <c r="J26" s="20"/>
      <c r="K26" s="20"/>
    </row>
    <row r="27" spans="2:11" ht="12.75">
      <c r="B27" s="5">
        <f t="shared" si="0"/>
        <v>21</v>
      </c>
      <c r="C27" s="4">
        <v>6010</v>
      </c>
      <c r="D27" s="4" t="s">
        <v>50</v>
      </c>
      <c r="E27" s="21">
        <f t="shared" si="8"/>
        <v>0</v>
      </c>
      <c r="F27" s="21">
        <v>1000</v>
      </c>
      <c r="G27" s="21">
        <v>1000</v>
      </c>
      <c r="H27" s="22">
        <f aca="true" t="shared" si="9" ref="H27:H37">F27-G27</f>
        <v>0</v>
      </c>
      <c r="I27" s="20">
        <f aca="true" t="shared" si="10" ref="I27:I37">H27/G27</f>
        <v>0</v>
      </c>
      <c r="J27" s="20"/>
      <c r="K27" s="20"/>
    </row>
    <row r="28" spans="2:11" ht="12.75">
      <c r="B28" s="5">
        <f t="shared" si="0"/>
        <v>22</v>
      </c>
      <c r="C28" s="4">
        <v>6015</v>
      </c>
      <c r="D28" s="4" t="s">
        <v>51</v>
      </c>
      <c r="E28" s="21">
        <f t="shared" si="8"/>
        <v>0</v>
      </c>
      <c r="F28" s="21">
        <v>1000</v>
      </c>
      <c r="G28" s="21">
        <v>1000</v>
      </c>
      <c r="H28" s="22">
        <f t="shared" si="9"/>
        <v>0</v>
      </c>
      <c r="I28" s="20">
        <f t="shared" si="10"/>
        <v>0</v>
      </c>
      <c r="J28" s="20"/>
      <c r="K28" s="20"/>
    </row>
    <row r="29" spans="2:11" ht="12.75">
      <c r="B29" s="5">
        <f t="shared" si="0"/>
        <v>23</v>
      </c>
      <c r="C29" s="4">
        <v>6020</v>
      </c>
      <c r="D29" s="4" t="s">
        <v>52</v>
      </c>
      <c r="E29" s="21">
        <f t="shared" si="8"/>
        <v>0</v>
      </c>
      <c r="F29" s="21">
        <v>1000</v>
      </c>
      <c r="G29" s="21">
        <v>1000</v>
      </c>
      <c r="H29" s="22">
        <f t="shared" si="9"/>
        <v>0</v>
      </c>
      <c r="I29" s="20">
        <f t="shared" si="10"/>
        <v>0</v>
      </c>
      <c r="J29" s="20"/>
      <c r="K29" s="20"/>
    </row>
    <row r="30" spans="2:11" ht="12.75">
      <c r="B30" s="5">
        <f t="shared" si="0"/>
        <v>24</v>
      </c>
      <c r="C30" s="4">
        <v>6025</v>
      </c>
      <c r="D30" s="4" t="s">
        <v>53</v>
      </c>
      <c r="E30" s="21">
        <f t="shared" si="8"/>
        <v>0</v>
      </c>
      <c r="F30" s="21">
        <v>1000</v>
      </c>
      <c r="G30" s="21">
        <v>1000</v>
      </c>
      <c r="H30" s="22">
        <f t="shared" si="9"/>
        <v>0</v>
      </c>
      <c r="I30" s="20">
        <f t="shared" si="10"/>
        <v>0</v>
      </c>
      <c r="J30" s="20"/>
      <c r="K30" s="20"/>
    </row>
    <row r="31" spans="2:11" ht="12.75">
      <c r="B31" s="5">
        <f t="shared" si="0"/>
        <v>25</v>
      </c>
      <c r="C31" s="4">
        <v>6030</v>
      </c>
      <c r="D31" s="4" t="s">
        <v>54</v>
      </c>
      <c r="E31" s="21">
        <f t="shared" si="8"/>
        <v>0</v>
      </c>
      <c r="F31" s="21">
        <v>1000</v>
      </c>
      <c r="G31" s="21">
        <v>1000</v>
      </c>
      <c r="H31" s="22">
        <f t="shared" si="9"/>
        <v>0</v>
      </c>
      <c r="I31" s="20">
        <f t="shared" si="10"/>
        <v>0</v>
      </c>
      <c r="J31" s="20"/>
      <c r="K31" s="20"/>
    </row>
    <row r="32" spans="2:11" ht="12.75">
      <c r="B32" s="5">
        <f t="shared" si="0"/>
        <v>26</v>
      </c>
      <c r="C32" s="4">
        <v>6040</v>
      </c>
      <c r="D32" s="4" t="s">
        <v>55</v>
      </c>
      <c r="E32" s="21"/>
      <c r="F32" s="21">
        <v>1000</v>
      </c>
      <c r="G32" s="21">
        <v>1000</v>
      </c>
      <c r="H32" s="22">
        <f t="shared" si="9"/>
        <v>0</v>
      </c>
      <c r="I32" s="20">
        <f t="shared" si="10"/>
        <v>0</v>
      </c>
      <c r="J32" s="20"/>
      <c r="K32" s="20"/>
    </row>
    <row r="33" spans="2:11" ht="12.75">
      <c r="B33" s="5">
        <f t="shared" si="0"/>
        <v>27</v>
      </c>
      <c r="C33" s="4">
        <v>6050</v>
      </c>
      <c r="D33" s="4" t="s">
        <v>56</v>
      </c>
      <c r="E33" s="21">
        <f>+H39/8*12</f>
        <v>0</v>
      </c>
      <c r="F33" s="21">
        <v>1000</v>
      </c>
      <c r="G33" s="21">
        <v>1000</v>
      </c>
      <c r="H33" s="22">
        <f t="shared" si="9"/>
        <v>0</v>
      </c>
      <c r="I33" s="20">
        <f t="shared" si="10"/>
        <v>0</v>
      </c>
      <c r="J33" s="20"/>
      <c r="K33" s="20"/>
    </row>
    <row r="34" spans="2:11" ht="12.75">
      <c r="B34" s="5">
        <f t="shared" si="0"/>
        <v>28</v>
      </c>
      <c r="C34" s="4">
        <v>6060</v>
      </c>
      <c r="D34" s="4" t="s">
        <v>57</v>
      </c>
      <c r="E34" s="21"/>
      <c r="F34" s="21">
        <v>1000</v>
      </c>
      <c r="G34" s="21">
        <v>1000</v>
      </c>
      <c r="H34" s="22">
        <f t="shared" si="9"/>
        <v>0</v>
      </c>
      <c r="I34" s="20">
        <f t="shared" si="10"/>
        <v>0</v>
      </c>
      <c r="J34" s="20"/>
      <c r="K34" s="20"/>
    </row>
    <row r="35" spans="2:11" ht="12.75">
      <c r="B35" s="5">
        <f t="shared" si="0"/>
        <v>29</v>
      </c>
      <c r="C35" s="4">
        <v>6070</v>
      </c>
      <c r="D35" s="4" t="s">
        <v>58</v>
      </c>
      <c r="E35" s="21">
        <f>+H41/8*12</f>
        <v>0</v>
      </c>
      <c r="F35" s="21">
        <v>1000</v>
      </c>
      <c r="G35" s="21">
        <v>1000</v>
      </c>
      <c r="H35" s="22">
        <f t="shared" si="9"/>
        <v>0</v>
      </c>
      <c r="I35" s="20">
        <f t="shared" si="10"/>
        <v>0</v>
      </c>
      <c r="J35" s="20"/>
      <c r="K35" s="20"/>
    </row>
    <row r="36" spans="2:11" ht="12.75">
      <c r="B36" s="5">
        <f t="shared" si="0"/>
        <v>30</v>
      </c>
      <c r="C36" s="4">
        <v>6080</v>
      </c>
      <c r="D36" s="4" t="s">
        <v>59</v>
      </c>
      <c r="E36" s="21"/>
      <c r="F36" s="25">
        <v>1000</v>
      </c>
      <c r="G36" s="25">
        <v>1000</v>
      </c>
      <c r="H36" s="26">
        <f t="shared" si="9"/>
        <v>0</v>
      </c>
      <c r="I36" s="27">
        <f t="shared" si="10"/>
        <v>0</v>
      </c>
      <c r="J36" s="20"/>
      <c r="K36" s="20"/>
    </row>
    <row r="37" spans="2:12" ht="12.75">
      <c r="B37" s="5">
        <f t="shared" si="0"/>
        <v>31</v>
      </c>
      <c r="D37" s="11" t="s">
        <v>60</v>
      </c>
      <c r="E37" s="29">
        <f>+H43/8*12</f>
        <v>0</v>
      </c>
      <c r="F37" s="29">
        <f>SUM(F27:F36)</f>
        <v>10000</v>
      </c>
      <c r="G37" s="29">
        <f>SUM(G27:G36)</f>
        <v>10000</v>
      </c>
      <c r="H37" s="22">
        <f t="shared" si="9"/>
        <v>0</v>
      </c>
      <c r="I37" s="20">
        <f t="shared" si="10"/>
        <v>0</v>
      </c>
      <c r="J37" s="20">
        <f>F37/F$159</f>
        <v>0.014317673378076063</v>
      </c>
      <c r="K37" s="20">
        <f>F37/F$173</f>
        <v>0.014215904042647711</v>
      </c>
      <c r="L37" s="37"/>
    </row>
    <row r="38" spans="2:12" ht="12.75">
      <c r="B38" s="5">
        <f t="shared" si="0"/>
        <v>32</v>
      </c>
      <c r="D38" s="6"/>
      <c r="E38" s="29"/>
      <c r="F38" s="29"/>
      <c r="G38" s="29"/>
      <c r="H38" s="22"/>
      <c r="I38" s="20"/>
      <c r="J38" s="20"/>
      <c r="K38" s="20"/>
      <c r="L38" s="37"/>
    </row>
    <row r="39" spans="2:11" ht="12.75">
      <c r="B39" s="5">
        <f t="shared" si="0"/>
        <v>33</v>
      </c>
      <c r="D39" s="11" t="s">
        <v>61</v>
      </c>
      <c r="E39" s="21"/>
      <c r="F39" s="21"/>
      <c r="G39" s="38"/>
      <c r="H39" s="22"/>
      <c r="I39" s="20"/>
      <c r="J39" s="20"/>
      <c r="K39" s="20"/>
    </row>
    <row r="40" spans="2:14" ht="12.75">
      <c r="B40" s="5">
        <f t="shared" si="0"/>
        <v>34</v>
      </c>
      <c r="C40" s="4">
        <v>6410</v>
      </c>
      <c r="D40" s="4" t="s">
        <v>62</v>
      </c>
      <c r="E40" s="21">
        <f>+H46/8*12</f>
        <v>0</v>
      </c>
      <c r="F40" s="21">
        <v>1000</v>
      </c>
      <c r="G40" s="21">
        <v>1000</v>
      </c>
      <c r="H40" s="22">
        <f aca="true" t="shared" si="11" ref="H40:H48">F40-G40</f>
        <v>0</v>
      </c>
      <c r="I40" s="20">
        <f aca="true" t="shared" si="12" ref="I40:I48">H40/G40</f>
        <v>0</v>
      </c>
      <c r="J40" s="20"/>
      <c r="K40" s="20"/>
      <c r="M40" s="4" t="s">
        <v>34</v>
      </c>
      <c r="N40" s="4" t="s">
        <v>63</v>
      </c>
    </row>
    <row r="41" spans="2:14" ht="12.75">
      <c r="B41" s="5">
        <f t="shared" si="0"/>
        <v>35</v>
      </c>
      <c r="C41" s="4">
        <v>6415</v>
      </c>
      <c r="D41" s="4" t="s">
        <v>64</v>
      </c>
      <c r="E41" s="21"/>
      <c r="F41" s="21">
        <v>1000</v>
      </c>
      <c r="G41" s="21">
        <v>1000</v>
      </c>
      <c r="H41" s="22">
        <f t="shared" si="11"/>
        <v>0</v>
      </c>
      <c r="I41" s="20">
        <f t="shared" si="12"/>
        <v>0</v>
      </c>
      <c r="J41" s="20"/>
      <c r="K41" s="20"/>
      <c r="L41" s="28"/>
      <c r="M41" s="39" t="s">
        <v>34</v>
      </c>
      <c r="N41" s="4" t="s">
        <v>65</v>
      </c>
    </row>
    <row r="42" spans="2:11" ht="12.75">
      <c r="B42" s="5">
        <f t="shared" si="0"/>
        <v>36</v>
      </c>
      <c r="C42" s="4">
        <v>6420</v>
      </c>
      <c r="D42" s="4" t="s">
        <v>66</v>
      </c>
      <c r="E42" s="21">
        <f>+H48/8*12</f>
        <v>0</v>
      </c>
      <c r="F42" s="21">
        <v>1000</v>
      </c>
      <c r="G42" s="21">
        <v>1000</v>
      </c>
      <c r="H42" s="22">
        <f t="shared" si="11"/>
        <v>0</v>
      </c>
      <c r="I42" s="20">
        <f t="shared" si="12"/>
        <v>0</v>
      </c>
      <c r="J42" s="20"/>
      <c r="K42" s="20"/>
    </row>
    <row r="43" spans="2:11" ht="12.75">
      <c r="B43" s="5">
        <f t="shared" si="0"/>
        <v>37</v>
      </c>
      <c r="C43" s="4">
        <v>6425</v>
      </c>
      <c r="D43" s="4" t="s">
        <v>67</v>
      </c>
      <c r="E43" s="21"/>
      <c r="F43" s="21">
        <v>1000</v>
      </c>
      <c r="G43" s="21">
        <v>1000</v>
      </c>
      <c r="H43" s="22">
        <f t="shared" si="11"/>
        <v>0</v>
      </c>
      <c r="I43" s="20">
        <f t="shared" si="12"/>
        <v>0</v>
      </c>
      <c r="J43" s="20"/>
      <c r="K43" s="20"/>
    </row>
    <row r="44" spans="2:11" ht="12.75">
      <c r="B44" s="5">
        <f t="shared" si="0"/>
        <v>38</v>
      </c>
      <c r="C44" s="4">
        <v>6430</v>
      </c>
      <c r="D44" s="4" t="s">
        <v>68</v>
      </c>
      <c r="E44" s="21"/>
      <c r="F44" s="21">
        <v>1000</v>
      </c>
      <c r="G44" s="21">
        <v>1000</v>
      </c>
      <c r="H44" s="22">
        <f t="shared" si="11"/>
        <v>0</v>
      </c>
      <c r="I44" s="20">
        <f t="shared" si="12"/>
        <v>0</v>
      </c>
      <c r="J44" s="20"/>
      <c r="K44" s="20"/>
    </row>
    <row r="45" spans="2:14" ht="12.75">
      <c r="B45" s="5">
        <f t="shared" si="0"/>
        <v>39</v>
      </c>
      <c r="C45" s="4">
        <v>6440</v>
      </c>
      <c r="D45" s="4" t="s">
        <v>69</v>
      </c>
      <c r="E45" s="21"/>
      <c r="F45" s="21">
        <v>1000</v>
      </c>
      <c r="G45" s="21">
        <v>1000</v>
      </c>
      <c r="H45" s="22">
        <f t="shared" si="11"/>
        <v>0</v>
      </c>
      <c r="I45" s="20">
        <f t="shared" si="12"/>
        <v>0</v>
      </c>
      <c r="J45" s="20"/>
      <c r="K45" s="20"/>
      <c r="N45" s="4" t="s">
        <v>70</v>
      </c>
    </row>
    <row r="46" spans="2:14" ht="12.75">
      <c r="B46" s="5">
        <f t="shared" si="0"/>
        <v>40</v>
      </c>
      <c r="C46" s="4">
        <v>6450</v>
      </c>
      <c r="D46" s="4" t="s">
        <v>71</v>
      </c>
      <c r="E46" s="21"/>
      <c r="F46" s="21">
        <v>1000</v>
      </c>
      <c r="G46" s="21">
        <v>1000</v>
      </c>
      <c r="H46" s="22">
        <f t="shared" si="11"/>
        <v>0</v>
      </c>
      <c r="I46" s="20">
        <f t="shared" si="12"/>
        <v>0</v>
      </c>
      <c r="J46" s="20"/>
      <c r="K46" s="20"/>
      <c r="N46" s="4" t="s">
        <v>72</v>
      </c>
    </row>
    <row r="47" spans="2:14" ht="12.75">
      <c r="B47" s="5">
        <f t="shared" si="0"/>
        <v>41</v>
      </c>
      <c r="C47" s="4">
        <v>6460</v>
      </c>
      <c r="D47" s="4" t="s">
        <v>59</v>
      </c>
      <c r="E47" s="21"/>
      <c r="F47" s="25">
        <v>1000</v>
      </c>
      <c r="G47" s="25">
        <v>1000</v>
      </c>
      <c r="H47" s="26">
        <f t="shared" si="11"/>
        <v>0</v>
      </c>
      <c r="I47" s="27">
        <f t="shared" si="12"/>
        <v>0</v>
      </c>
      <c r="J47" s="20"/>
      <c r="K47" s="20"/>
      <c r="N47" s="4" t="s">
        <v>73</v>
      </c>
    </row>
    <row r="48" spans="2:12" ht="12.75">
      <c r="B48" s="5">
        <f t="shared" si="0"/>
        <v>42</v>
      </c>
      <c r="D48" s="11" t="s">
        <v>74</v>
      </c>
      <c r="E48" s="29">
        <f>SUM(E40:E45)</f>
        <v>0</v>
      </c>
      <c r="F48" s="29">
        <f>SUM(F40:F47)</f>
        <v>8000</v>
      </c>
      <c r="G48" s="29">
        <f>SUM(G40:G47)</f>
        <v>8000</v>
      </c>
      <c r="H48" s="22">
        <f t="shared" si="11"/>
        <v>0</v>
      </c>
      <c r="I48" s="20">
        <f t="shared" si="12"/>
        <v>0</v>
      </c>
      <c r="J48" s="20">
        <f>F48/F$159</f>
        <v>0.01145413870246085</v>
      </c>
      <c r="K48" s="20">
        <f>F48/F$173</f>
        <v>0.01137272323411817</v>
      </c>
      <c r="L48" s="37"/>
    </row>
    <row r="49" spans="2:11" ht="12.75">
      <c r="B49" s="5">
        <f t="shared" si="0"/>
        <v>43</v>
      </c>
      <c r="D49" s="6"/>
      <c r="E49" s="21">
        <f aca="true" t="shared" si="13" ref="E49:E50">+H54/8*12</f>
        <v>0</v>
      </c>
      <c r="F49" s="21"/>
      <c r="G49" s="21"/>
      <c r="H49" s="22"/>
      <c r="I49" s="20"/>
      <c r="J49" s="20"/>
      <c r="K49" s="20"/>
    </row>
    <row r="50" spans="2:11" ht="12.75">
      <c r="B50" s="5">
        <f t="shared" si="0"/>
        <v>44</v>
      </c>
      <c r="D50" s="11" t="s">
        <v>75</v>
      </c>
      <c r="E50" s="21">
        <f t="shared" si="13"/>
        <v>0</v>
      </c>
      <c r="F50" s="21"/>
      <c r="G50" s="21"/>
      <c r="H50" s="22"/>
      <c r="I50" s="20"/>
      <c r="J50" s="20"/>
      <c r="K50" s="20"/>
    </row>
    <row r="51" spans="2:11" ht="12.75">
      <c r="B51" s="5">
        <f t="shared" si="0"/>
        <v>45</v>
      </c>
      <c r="C51" s="4">
        <v>7510</v>
      </c>
      <c r="D51" s="6" t="s">
        <v>76</v>
      </c>
      <c r="E51" s="21"/>
      <c r="F51" s="21">
        <v>1000</v>
      </c>
      <c r="G51" s="21">
        <v>1000</v>
      </c>
      <c r="H51" s="22">
        <f aca="true" t="shared" si="14" ref="H51:H67">F51-G51</f>
        <v>0</v>
      </c>
      <c r="I51" s="20">
        <f aca="true" t="shared" si="15" ref="I51:I67">H51/G51</f>
        <v>0</v>
      </c>
      <c r="J51" s="20"/>
      <c r="K51" s="20"/>
    </row>
    <row r="52" spans="2:11" ht="12.75">
      <c r="B52" s="5">
        <f t="shared" si="0"/>
        <v>46</v>
      </c>
      <c r="C52" s="4">
        <v>7515</v>
      </c>
      <c r="D52" s="6" t="s">
        <v>77</v>
      </c>
      <c r="E52" s="21"/>
      <c r="F52" s="21">
        <v>1000</v>
      </c>
      <c r="G52" s="21">
        <v>1000</v>
      </c>
      <c r="H52" s="22">
        <f t="shared" si="14"/>
        <v>0</v>
      </c>
      <c r="I52" s="20">
        <f t="shared" si="15"/>
        <v>0</v>
      </c>
      <c r="J52" s="20"/>
      <c r="K52" s="20"/>
    </row>
    <row r="53" spans="2:11" ht="12.75">
      <c r="B53" s="5">
        <f t="shared" si="0"/>
        <v>47</v>
      </c>
      <c r="C53" s="4">
        <v>7520</v>
      </c>
      <c r="D53" s="6" t="s">
        <v>78</v>
      </c>
      <c r="E53" s="21"/>
      <c r="F53" s="21">
        <v>1000</v>
      </c>
      <c r="G53" s="21">
        <v>1000</v>
      </c>
      <c r="H53" s="22">
        <f t="shared" si="14"/>
        <v>0</v>
      </c>
      <c r="I53" s="20">
        <f t="shared" si="15"/>
        <v>0</v>
      </c>
      <c r="J53" s="20"/>
      <c r="K53" s="20"/>
    </row>
    <row r="54" spans="2:11" ht="12.75">
      <c r="B54" s="5">
        <f t="shared" si="0"/>
        <v>48</v>
      </c>
      <c r="C54" s="4">
        <v>7525</v>
      </c>
      <c r="D54" s="6" t="s">
        <v>79</v>
      </c>
      <c r="E54" s="21"/>
      <c r="F54" s="21">
        <v>1000</v>
      </c>
      <c r="G54" s="21">
        <v>1000</v>
      </c>
      <c r="H54" s="22">
        <f t="shared" si="14"/>
        <v>0</v>
      </c>
      <c r="I54" s="20">
        <f t="shared" si="15"/>
        <v>0</v>
      </c>
      <c r="J54" s="20"/>
      <c r="K54" s="20"/>
    </row>
    <row r="55" spans="2:11" ht="12.75">
      <c r="B55" s="5">
        <f t="shared" si="0"/>
        <v>49</v>
      </c>
      <c r="C55" s="4">
        <v>7530</v>
      </c>
      <c r="D55" s="6" t="s">
        <v>80</v>
      </c>
      <c r="E55" s="21">
        <f>+H59/8*12</f>
        <v>0</v>
      </c>
      <c r="F55" s="21">
        <v>1000</v>
      </c>
      <c r="G55" s="21">
        <v>1000</v>
      </c>
      <c r="H55" s="22">
        <f t="shared" si="14"/>
        <v>0</v>
      </c>
      <c r="I55" s="20">
        <f t="shared" si="15"/>
        <v>0</v>
      </c>
      <c r="J55" s="20"/>
      <c r="K55" s="20"/>
    </row>
    <row r="56" spans="2:11" ht="12.75">
      <c r="B56" s="5">
        <f t="shared" si="0"/>
        <v>50</v>
      </c>
      <c r="C56" s="4">
        <v>7535</v>
      </c>
      <c r="D56" s="40" t="s">
        <v>81</v>
      </c>
      <c r="E56" s="21"/>
      <c r="F56" s="21">
        <v>1000</v>
      </c>
      <c r="G56" s="21">
        <v>1000</v>
      </c>
      <c r="H56" s="22">
        <f t="shared" si="14"/>
        <v>0</v>
      </c>
      <c r="I56" s="20">
        <f t="shared" si="15"/>
        <v>0</v>
      </c>
      <c r="J56" s="20"/>
      <c r="K56" s="20"/>
    </row>
    <row r="57" spans="2:11" ht="12.75">
      <c r="B57" s="5">
        <f t="shared" si="0"/>
        <v>51</v>
      </c>
      <c r="C57" s="4">
        <v>7540</v>
      </c>
      <c r="D57" s="6" t="s">
        <v>82</v>
      </c>
      <c r="E57" s="21"/>
      <c r="F57" s="21">
        <v>1000</v>
      </c>
      <c r="G57" s="21">
        <v>1000</v>
      </c>
      <c r="H57" s="22">
        <f t="shared" si="14"/>
        <v>0</v>
      </c>
      <c r="I57" s="20">
        <f t="shared" si="15"/>
        <v>0</v>
      </c>
      <c r="J57" s="20"/>
      <c r="K57" s="20"/>
    </row>
    <row r="58" spans="2:11" ht="12.75">
      <c r="B58" s="5">
        <f t="shared" si="0"/>
        <v>52</v>
      </c>
      <c r="C58" s="4">
        <v>7545</v>
      </c>
      <c r="D58" s="6" t="s">
        <v>83</v>
      </c>
      <c r="E58" s="21"/>
      <c r="F58" s="21">
        <v>1000</v>
      </c>
      <c r="G58" s="21">
        <v>1000</v>
      </c>
      <c r="H58" s="22">
        <f t="shared" si="14"/>
        <v>0</v>
      </c>
      <c r="I58" s="20">
        <f t="shared" si="15"/>
        <v>0</v>
      </c>
      <c r="J58" s="20"/>
      <c r="K58" s="20"/>
    </row>
    <row r="59" spans="2:11" ht="12.75">
      <c r="B59" s="5">
        <f t="shared" si="0"/>
        <v>53</v>
      </c>
      <c r="C59" s="4">
        <v>7550</v>
      </c>
      <c r="D59" s="6" t="s">
        <v>84</v>
      </c>
      <c r="E59" s="21">
        <f>+H63/8*12</f>
        <v>0</v>
      </c>
      <c r="F59" s="21">
        <v>1000</v>
      </c>
      <c r="G59" s="21">
        <v>1000</v>
      </c>
      <c r="H59" s="22">
        <f t="shared" si="14"/>
        <v>0</v>
      </c>
      <c r="I59" s="20">
        <f t="shared" si="15"/>
        <v>0</v>
      </c>
      <c r="J59" s="20"/>
      <c r="K59" s="20"/>
    </row>
    <row r="60" spans="2:11" ht="12.75">
      <c r="B60" s="5">
        <f t="shared" si="0"/>
        <v>54</v>
      </c>
      <c r="C60" s="4">
        <v>7555</v>
      </c>
      <c r="D60" s="6" t="s">
        <v>85</v>
      </c>
      <c r="E60" s="21"/>
      <c r="F60" s="21">
        <v>1000</v>
      </c>
      <c r="G60" s="21">
        <v>1000</v>
      </c>
      <c r="H60" s="22">
        <f t="shared" si="14"/>
        <v>0</v>
      </c>
      <c r="I60" s="20">
        <f t="shared" si="15"/>
        <v>0</v>
      </c>
      <c r="J60" s="20"/>
      <c r="K60" s="20"/>
    </row>
    <row r="61" spans="2:11" ht="12.75">
      <c r="B61" s="5">
        <f t="shared" si="0"/>
        <v>55</v>
      </c>
      <c r="C61" s="4">
        <v>7560</v>
      </c>
      <c r="D61" s="6" t="s">
        <v>86</v>
      </c>
      <c r="E61" s="21">
        <f aca="true" t="shared" si="16" ref="E61:E63">+H65/8*12</f>
        <v>0</v>
      </c>
      <c r="F61" s="21">
        <v>1000</v>
      </c>
      <c r="G61" s="21">
        <v>1000</v>
      </c>
      <c r="H61" s="22">
        <f t="shared" si="14"/>
        <v>0</v>
      </c>
      <c r="I61" s="20">
        <f t="shared" si="15"/>
        <v>0</v>
      </c>
      <c r="J61" s="20"/>
      <c r="K61" s="20"/>
    </row>
    <row r="62" spans="2:11" ht="12.75">
      <c r="B62" s="5">
        <f t="shared" si="0"/>
        <v>56</v>
      </c>
      <c r="C62" s="4">
        <v>7565</v>
      </c>
      <c r="D62" s="6" t="s">
        <v>87</v>
      </c>
      <c r="E62" s="21">
        <f t="shared" si="16"/>
        <v>0</v>
      </c>
      <c r="F62" s="21">
        <v>1000</v>
      </c>
      <c r="G62" s="21">
        <v>1000</v>
      </c>
      <c r="H62" s="22">
        <f t="shared" si="14"/>
        <v>0</v>
      </c>
      <c r="I62" s="20">
        <f t="shared" si="15"/>
        <v>0</v>
      </c>
      <c r="J62" s="20"/>
      <c r="K62" s="20"/>
    </row>
    <row r="63" spans="2:11" ht="12.75">
      <c r="B63" s="5">
        <f t="shared" si="0"/>
        <v>57</v>
      </c>
      <c r="C63" s="4">
        <v>7575</v>
      </c>
      <c r="D63" s="6" t="s">
        <v>88</v>
      </c>
      <c r="E63" s="21">
        <f t="shared" si="16"/>
        <v>0</v>
      </c>
      <c r="F63" s="21">
        <v>1000</v>
      </c>
      <c r="G63" s="21">
        <v>1000</v>
      </c>
      <c r="H63" s="22">
        <f t="shared" si="14"/>
        <v>0</v>
      </c>
      <c r="I63" s="20">
        <f t="shared" si="15"/>
        <v>0</v>
      </c>
      <c r="J63" s="20"/>
      <c r="K63" s="20"/>
    </row>
    <row r="64" spans="2:11" ht="12.75">
      <c r="B64" s="5">
        <f t="shared" si="0"/>
        <v>58</v>
      </c>
      <c r="C64" s="4">
        <v>7575</v>
      </c>
      <c r="D64" s="6" t="s">
        <v>89</v>
      </c>
      <c r="E64" s="21">
        <v>3174</v>
      </c>
      <c r="F64" s="21">
        <v>1000</v>
      </c>
      <c r="G64" s="21">
        <v>1000</v>
      </c>
      <c r="H64" s="22">
        <f t="shared" si="14"/>
        <v>0</v>
      </c>
      <c r="I64" s="20">
        <f t="shared" si="15"/>
        <v>0</v>
      </c>
      <c r="J64" s="20"/>
      <c r="K64" s="20"/>
    </row>
    <row r="65" spans="2:14" ht="12.75">
      <c r="B65" s="5">
        <f t="shared" si="0"/>
        <v>59</v>
      </c>
      <c r="C65" s="4">
        <v>7580</v>
      </c>
      <c r="D65" s="6" t="s">
        <v>90</v>
      </c>
      <c r="E65" s="21"/>
      <c r="F65" s="21">
        <v>1000</v>
      </c>
      <c r="G65" s="21">
        <v>1000</v>
      </c>
      <c r="H65" s="22">
        <f t="shared" si="14"/>
        <v>0</v>
      </c>
      <c r="I65" s="20">
        <f t="shared" si="15"/>
        <v>0</v>
      </c>
      <c r="J65" s="20"/>
      <c r="K65" s="20"/>
      <c r="N65" s="4" t="s">
        <v>34</v>
      </c>
    </row>
    <row r="66" spans="2:11" ht="12.75">
      <c r="B66" s="5">
        <f t="shared" si="0"/>
        <v>60</v>
      </c>
      <c r="C66" s="4">
        <v>7585</v>
      </c>
      <c r="D66" s="6" t="s">
        <v>91</v>
      </c>
      <c r="E66" s="21">
        <f>+H70/8*12</f>
        <v>0</v>
      </c>
      <c r="F66" s="25">
        <v>1000</v>
      </c>
      <c r="G66" s="25">
        <v>1000</v>
      </c>
      <c r="H66" s="26">
        <f t="shared" si="14"/>
        <v>0</v>
      </c>
      <c r="I66" s="27">
        <f t="shared" si="15"/>
        <v>0</v>
      </c>
      <c r="J66" s="20"/>
      <c r="K66" s="20"/>
    </row>
    <row r="67" spans="2:12" ht="12.75">
      <c r="B67" s="5">
        <f t="shared" si="0"/>
        <v>61</v>
      </c>
      <c r="D67" s="11" t="s">
        <v>92</v>
      </c>
      <c r="E67" s="29">
        <f aca="true" t="shared" si="17" ref="E67:E71">+H73/8*12</f>
        <v>0</v>
      </c>
      <c r="F67" s="29">
        <f>SUM(F51:F66)</f>
        <v>16000</v>
      </c>
      <c r="G67" s="41">
        <f>SUM(G51:G66)</f>
        <v>16000</v>
      </c>
      <c r="H67" s="22">
        <f t="shared" si="14"/>
        <v>0</v>
      </c>
      <c r="I67" s="20">
        <f t="shared" si="15"/>
        <v>0</v>
      </c>
      <c r="J67" s="20">
        <f>F67/F$159</f>
        <v>0.0229082774049217</v>
      </c>
      <c r="K67" s="20">
        <f>F67/F$173</f>
        <v>0.02274544646823634</v>
      </c>
      <c r="L67" s="37"/>
    </row>
    <row r="68" spans="2:11" ht="12.75">
      <c r="B68" s="5">
        <f t="shared" si="0"/>
        <v>62</v>
      </c>
      <c r="D68" s="6"/>
      <c r="E68" s="21">
        <f t="shared" si="17"/>
        <v>0</v>
      </c>
      <c r="F68" s="21"/>
      <c r="G68" s="21"/>
      <c r="H68" s="22"/>
      <c r="I68" s="20"/>
      <c r="J68" s="20"/>
      <c r="K68" s="20"/>
    </row>
    <row r="69" spans="2:11" ht="12.75">
      <c r="B69" s="5">
        <f t="shared" si="0"/>
        <v>63</v>
      </c>
      <c r="D69" s="11" t="s">
        <v>93</v>
      </c>
      <c r="E69" s="21">
        <f t="shared" si="17"/>
        <v>0</v>
      </c>
      <c r="F69" s="21"/>
      <c r="G69" s="21"/>
      <c r="H69" s="22"/>
      <c r="I69" s="20"/>
      <c r="J69" s="20"/>
      <c r="K69" s="20"/>
    </row>
    <row r="70" spans="2:11" ht="12.75">
      <c r="B70" s="5">
        <f t="shared" si="0"/>
        <v>64</v>
      </c>
      <c r="C70" s="4">
        <v>7010</v>
      </c>
      <c r="D70" s="4" t="s">
        <v>94</v>
      </c>
      <c r="E70" s="21">
        <f t="shared" si="17"/>
        <v>0</v>
      </c>
      <c r="F70" s="21">
        <v>1000</v>
      </c>
      <c r="G70" s="21">
        <v>1000</v>
      </c>
      <c r="H70" s="22">
        <f aca="true" t="shared" si="18" ref="H70:H82">F70-G70</f>
        <v>0</v>
      </c>
      <c r="I70" s="20">
        <f aca="true" t="shared" si="19" ref="I70:I82">H70/G70</f>
        <v>0</v>
      </c>
      <c r="J70" s="20"/>
      <c r="K70" s="20"/>
    </row>
    <row r="71" spans="2:11" ht="12.75">
      <c r="B71" s="5">
        <f t="shared" si="0"/>
        <v>65</v>
      </c>
      <c r="C71" s="4">
        <v>7015</v>
      </c>
      <c r="D71" s="4" t="s">
        <v>95</v>
      </c>
      <c r="E71" s="21">
        <f t="shared" si="17"/>
        <v>0</v>
      </c>
      <c r="F71" s="21">
        <v>1000</v>
      </c>
      <c r="G71" s="21">
        <v>1000</v>
      </c>
      <c r="H71" s="22">
        <f t="shared" si="18"/>
        <v>0</v>
      </c>
      <c r="I71" s="20">
        <f t="shared" si="19"/>
        <v>0</v>
      </c>
      <c r="J71" s="20"/>
      <c r="K71" s="20"/>
    </row>
    <row r="72" spans="2:11" ht="12.75">
      <c r="B72" s="5">
        <f t="shared" si="0"/>
        <v>66</v>
      </c>
      <c r="C72" s="4">
        <v>7020</v>
      </c>
      <c r="D72" s="4" t="s">
        <v>96</v>
      </c>
      <c r="E72" s="21"/>
      <c r="F72" s="21">
        <v>1000</v>
      </c>
      <c r="G72" s="21">
        <v>1000</v>
      </c>
      <c r="H72" s="22">
        <f t="shared" si="18"/>
        <v>0</v>
      </c>
      <c r="I72" s="20">
        <f t="shared" si="19"/>
        <v>0</v>
      </c>
      <c r="J72" s="20"/>
      <c r="K72" s="20"/>
    </row>
    <row r="73" spans="2:11" ht="12.75">
      <c r="B73" s="5">
        <f t="shared" si="0"/>
        <v>67</v>
      </c>
      <c r="C73" s="4">
        <v>7025</v>
      </c>
      <c r="D73" s="4" t="s">
        <v>84</v>
      </c>
      <c r="E73" s="21"/>
      <c r="F73" s="21">
        <v>1000</v>
      </c>
      <c r="G73" s="21">
        <v>1000</v>
      </c>
      <c r="H73" s="22">
        <f t="shared" si="18"/>
        <v>0</v>
      </c>
      <c r="I73" s="20">
        <f t="shared" si="19"/>
        <v>0</v>
      </c>
      <c r="J73" s="20"/>
      <c r="K73" s="20"/>
    </row>
    <row r="74" spans="2:11" ht="12.75">
      <c r="B74" s="5">
        <f t="shared" si="0"/>
        <v>68</v>
      </c>
      <c r="C74" s="4">
        <v>7030</v>
      </c>
      <c r="D74" s="4" t="s">
        <v>97</v>
      </c>
      <c r="E74" s="21">
        <f>+H79/8*12</f>
        <v>0</v>
      </c>
      <c r="F74" s="21">
        <v>1000</v>
      </c>
      <c r="G74" s="21">
        <v>1000</v>
      </c>
      <c r="H74" s="22">
        <f t="shared" si="18"/>
        <v>0</v>
      </c>
      <c r="I74" s="20">
        <f t="shared" si="19"/>
        <v>0</v>
      </c>
      <c r="J74" s="20"/>
      <c r="K74" s="20"/>
    </row>
    <row r="75" spans="2:11" ht="12.75">
      <c r="B75" s="5">
        <f t="shared" si="0"/>
        <v>69</v>
      </c>
      <c r="C75" s="4">
        <v>7035</v>
      </c>
      <c r="D75" s="4" t="s">
        <v>98</v>
      </c>
      <c r="E75" s="21"/>
      <c r="F75" s="21">
        <v>1000</v>
      </c>
      <c r="G75" s="21">
        <v>1000</v>
      </c>
      <c r="H75" s="22">
        <f t="shared" si="18"/>
        <v>0</v>
      </c>
      <c r="I75" s="20">
        <f t="shared" si="19"/>
        <v>0</v>
      </c>
      <c r="J75" s="20"/>
      <c r="K75" s="20"/>
    </row>
    <row r="76" spans="2:11" ht="12.75">
      <c r="B76" s="5">
        <f t="shared" si="0"/>
        <v>70</v>
      </c>
      <c r="C76" s="4">
        <v>7040</v>
      </c>
      <c r="D76" s="4" t="s">
        <v>99</v>
      </c>
      <c r="E76" s="21">
        <v>0</v>
      </c>
      <c r="F76" s="21">
        <v>1000</v>
      </c>
      <c r="G76" s="21">
        <v>1000</v>
      </c>
      <c r="H76" s="22">
        <f t="shared" si="18"/>
        <v>0</v>
      </c>
      <c r="I76" s="20">
        <f t="shared" si="19"/>
        <v>0</v>
      </c>
      <c r="J76" s="20"/>
      <c r="K76" s="20"/>
    </row>
    <row r="77" spans="2:11" ht="12.75">
      <c r="B77" s="5">
        <f t="shared" si="0"/>
        <v>71</v>
      </c>
      <c r="C77" s="4">
        <v>7045</v>
      </c>
      <c r="D77" s="4" t="s">
        <v>100</v>
      </c>
      <c r="E77" s="21"/>
      <c r="F77" s="21">
        <v>1000</v>
      </c>
      <c r="G77" s="21">
        <v>1000</v>
      </c>
      <c r="H77" s="22">
        <f t="shared" si="18"/>
        <v>0</v>
      </c>
      <c r="I77" s="20">
        <f t="shared" si="19"/>
        <v>0</v>
      </c>
      <c r="J77" s="20"/>
      <c r="K77" s="20"/>
    </row>
    <row r="78" spans="2:11" ht="12.75">
      <c r="B78" s="5">
        <f t="shared" si="0"/>
        <v>72</v>
      </c>
      <c r="C78" s="4">
        <v>7050</v>
      </c>
      <c r="D78" s="4" t="s">
        <v>101</v>
      </c>
      <c r="E78" s="21"/>
      <c r="F78" s="21">
        <v>1000</v>
      </c>
      <c r="G78" s="21">
        <v>1000</v>
      </c>
      <c r="H78" s="22">
        <f t="shared" si="18"/>
        <v>0</v>
      </c>
      <c r="I78" s="20">
        <f t="shared" si="19"/>
        <v>0</v>
      </c>
      <c r="J78" s="20"/>
      <c r="K78" s="20"/>
    </row>
    <row r="79" spans="2:11" ht="12.75">
      <c r="B79" s="5">
        <f t="shared" si="0"/>
        <v>73</v>
      </c>
      <c r="C79" s="4">
        <v>7055</v>
      </c>
      <c r="D79" s="4" t="s">
        <v>102</v>
      </c>
      <c r="E79" s="21"/>
      <c r="F79" s="21">
        <v>1000</v>
      </c>
      <c r="G79" s="21">
        <v>1000</v>
      </c>
      <c r="H79" s="22">
        <f t="shared" si="18"/>
        <v>0</v>
      </c>
      <c r="I79" s="20">
        <f t="shared" si="19"/>
        <v>0</v>
      </c>
      <c r="J79" s="20"/>
      <c r="K79" s="20"/>
    </row>
    <row r="80" spans="2:11" ht="12.75">
      <c r="B80" s="5">
        <f t="shared" si="0"/>
        <v>74</v>
      </c>
      <c r="C80" s="4">
        <v>7060</v>
      </c>
      <c r="D80" s="4" t="s">
        <v>103</v>
      </c>
      <c r="E80" s="21"/>
      <c r="F80" s="21">
        <v>1000</v>
      </c>
      <c r="G80" s="21">
        <v>1000</v>
      </c>
      <c r="H80" s="22">
        <f t="shared" si="18"/>
        <v>0</v>
      </c>
      <c r="I80" s="20">
        <f t="shared" si="19"/>
        <v>0</v>
      </c>
      <c r="J80" s="20"/>
      <c r="K80" s="20"/>
    </row>
    <row r="81" spans="2:11" ht="12.75">
      <c r="B81" s="5">
        <f t="shared" si="0"/>
        <v>75</v>
      </c>
      <c r="C81" s="4">
        <v>7065</v>
      </c>
      <c r="D81" s="4" t="s">
        <v>104</v>
      </c>
      <c r="E81" s="21"/>
      <c r="F81" s="25">
        <v>1000</v>
      </c>
      <c r="G81" s="25">
        <v>1000</v>
      </c>
      <c r="H81" s="26">
        <f t="shared" si="18"/>
        <v>0</v>
      </c>
      <c r="I81" s="27">
        <f t="shared" si="19"/>
        <v>0</v>
      </c>
      <c r="J81" s="20"/>
      <c r="K81" s="20"/>
    </row>
    <row r="82" spans="2:11" ht="12.75">
      <c r="B82" s="5">
        <f t="shared" si="0"/>
        <v>76</v>
      </c>
      <c r="D82" s="11" t="s">
        <v>105</v>
      </c>
      <c r="E82" s="21">
        <f>+H85/8*12</f>
        <v>0</v>
      </c>
      <c r="F82" s="29">
        <f>SUM(F70:F81)</f>
        <v>12000</v>
      </c>
      <c r="G82" s="29">
        <f>SUM(G70:G81)</f>
        <v>12000</v>
      </c>
      <c r="H82" s="22">
        <f t="shared" si="18"/>
        <v>0</v>
      </c>
      <c r="I82" s="20">
        <f t="shared" si="19"/>
        <v>0</v>
      </c>
      <c r="J82" s="20">
        <f>F82/F$159</f>
        <v>0.017181208053691274</v>
      </c>
      <c r="K82" s="20">
        <f>F82/F$173</f>
        <v>0.017059084851177256</v>
      </c>
    </row>
    <row r="83" spans="2:11" ht="12.75">
      <c r="B83" s="5">
        <f t="shared" si="0"/>
        <v>77</v>
      </c>
      <c r="D83" s="11"/>
      <c r="E83" s="21"/>
      <c r="F83" s="21"/>
      <c r="G83" s="21"/>
      <c r="H83" s="22"/>
      <c r="I83" s="20"/>
      <c r="J83" s="20"/>
      <c r="K83" s="20"/>
    </row>
    <row r="84" spans="2:11" ht="12.75">
      <c r="B84" s="5">
        <f t="shared" si="0"/>
        <v>78</v>
      </c>
      <c r="D84" s="11" t="s">
        <v>106</v>
      </c>
      <c r="E84" s="21"/>
      <c r="F84" s="21"/>
      <c r="G84" s="21"/>
      <c r="H84" s="22"/>
      <c r="I84" s="20"/>
      <c r="J84" s="20"/>
      <c r="K84" s="20"/>
    </row>
    <row r="85" spans="2:14" ht="12.75">
      <c r="B85" s="5">
        <f t="shared" si="0"/>
        <v>79</v>
      </c>
      <c r="C85" s="4">
        <v>6210</v>
      </c>
      <c r="D85" s="4" t="s">
        <v>107</v>
      </c>
      <c r="E85" s="21">
        <f>+H81/8*12</f>
        <v>0</v>
      </c>
      <c r="F85" s="21">
        <v>1000</v>
      </c>
      <c r="G85" s="21">
        <v>1000</v>
      </c>
      <c r="H85" s="22">
        <f aca="true" t="shared" si="20" ref="H85:H93">F85-G85</f>
        <v>0</v>
      </c>
      <c r="I85" s="20">
        <f aca="true" t="shared" si="21" ref="I85:I93">H85/G85</f>
        <v>0</v>
      </c>
      <c r="J85" s="20"/>
      <c r="K85" s="20"/>
      <c r="N85" s="4" t="s">
        <v>108</v>
      </c>
    </row>
    <row r="86" spans="2:11" ht="12.75">
      <c r="B86" s="5">
        <f t="shared" si="0"/>
        <v>80</v>
      </c>
      <c r="C86" s="4">
        <v>6215</v>
      </c>
      <c r="D86" s="4" t="s">
        <v>109</v>
      </c>
      <c r="E86" s="21"/>
      <c r="F86" s="21">
        <v>1000</v>
      </c>
      <c r="G86" s="21">
        <v>1000</v>
      </c>
      <c r="H86" s="22">
        <f t="shared" si="20"/>
        <v>0</v>
      </c>
      <c r="I86" s="20">
        <f t="shared" si="21"/>
        <v>0</v>
      </c>
      <c r="J86" s="20"/>
      <c r="K86" s="20"/>
    </row>
    <row r="87" spans="2:11" ht="12.75">
      <c r="B87" s="5">
        <f t="shared" si="0"/>
        <v>81</v>
      </c>
      <c r="C87" s="4">
        <v>6220</v>
      </c>
      <c r="D87" s="4" t="s">
        <v>110</v>
      </c>
      <c r="E87" s="21"/>
      <c r="F87" s="21">
        <v>1000</v>
      </c>
      <c r="G87" s="21">
        <v>1000</v>
      </c>
      <c r="H87" s="22">
        <f t="shared" si="20"/>
        <v>0</v>
      </c>
      <c r="I87" s="20">
        <f t="shared" si="21"/>
        <v>0</v>
      </c>
      <c r="J87" s="20"/>
      <c r="K87" s="20"/>
    </row>
    <row r="88" spans="2:11" ht="12.75">
      <c r="B88" s="5">
        <f t="shared" si="0"/>
        <v>82</v>
      </c>
      <c r="C88" s="4">
        <v>6225</v>
      </c>
      <c r="D88" s="4" t="s">
        <v>111</v>
      </c>
      <c r="E88" s="21"/>
      <c r="F88" s="21">
        <v>1000</v>
      </c>
      <c r="G88" s="21">
        <v>1000</v>
      </c>
      <c r="H88" s="22">
        <f t="shared" si="20"/>
        <v>0</v>
      </c>
      <c r="I88" s="20">
        <f t="shared" si="21"/>
        <v>0</v>
      </c>
      <c r="J88" s="20"/>
      <c r="K88" s="20"/>
    </row>
    <row r="89" spans="2:11" ht="12.75">
      <c r="B89" s="5">
        <f t="shared" si="0"/>
        <v>83</v>
      </c>
      <c r="C89" s="4">
        <v>6230</v>
      </c>
      <c r="D89" s="4" t="s">
        <v>112</v>
      </c>
      <c r="E89" s="21"/>
      <c r="F89" s="21">
        <v>1000</v>
      </c>
      <c r="G89" s="21">
        <v>1000</v>
      </c>
      <c r="H89" s="22">
        <f t="shared" si="20"/>
        <v>0</v>
      </c>
      <c r="I89" s="20">
        <f t="shared" si="21"/>
        <v>0</v>
      </c>
      <c r="J89" s="20"/>
      <c r="K89" s="20"/>
    </row>
    <row r="90" spans="2:11" ht="12.75">
      <c r="B90" s="5">
        <f t="shared" si="0"/>
        <v>84</v>
      </c>
      <c r="C90" s="4">
        <v>6240</v>
      </c>
      <c r="D90" s="4" t="s">
        <v>100</v>
      </c>
      <c r="E90" s="21"/>
      <c r="F90" s="21">
        <v>1000</v>
      </c>
      <c r="G90" s="21">
        <v>1000</v>
      </c>
      <c r="H90" s="22">
        <f t="shared" si="20"/>
        <v>0</v>
      </c>
      <c r="I90" s="20">
        <f t="shared" si="21"/>
        <v>0</v>
      </c>
      <c r="J90" s="20"/>
      <c r="K90" s="20"/>
    </row>
    <row r="91" spans="2:11" ht="12.75">
      <c r="B91" s="5">
        <f t="shared" si="0"/>
        <v>85</v>
      </c>
      <c r="C91" s="4">
        <v>6250</v>
      </c>
      <c r="D91" s="4" t="s">
        <v>89</v>
      </c>
      <c r="E91" s="21"/>
      <c r="F91" s="21">
        <v>1000</v>
      </c>
      <c r="G91" s="21">
        <v>1000</v>
      </c>
      <c r="H91" s="22">
        <f t="shared" si="20"/>
        <v>0</v>
      </c>
      <c r="I91" s="20">
        <f t="shared" si="21"/>
        <v>0</v>
      </c>
      <c r="J91" s="20"/>
      <c r="K91" s="20"/>
    </row>
    <row r="92" spans="2:11" ht="12.75">
      <c r="B92" s="5">
        <f t="shared" si="0"/>
        <v>86</v>
      </c>
      <c r="C92" s="4">
        <v>6260</v>
      </c>
      <c r="D92" s="6" t="s">
        <v>113</v>
      </c>
      <c r="E92" s="21"/>
      <c r="F92" s="25">
        <v>1000</v>
      </c>
      <c r="G92" s="25">
        <v>1000</v>
      </c>
      <c r="H92" s="26">
        <f t="shared" si="20"/>
        <v>0</v>
      </c>
      <c r="I92" s="27">
        <f t="shared" si="21"/>
        <v>0</v>
      </c>
      <c r="J92" s="20"/>
      <c r="K92" s="20"/>
    </row>
    <row r="93" spans="2:12" ht="12.75">
      <c r="B93" s="5">
        <f t="shared" si="0"/>
        <v>87</v>
      </c>
      <c r="D93" s="11" t="s">
        <v>114</v>
      </c>
      <c r="E93" s="29">
        <f aca="true" t="shared" si="22" ref="E93:E95">+H85/8*12</f>
        <v>0</v>
      </c>
      <c r="F93" s="29">
        <f>SUM(F85:F92)</f>
        <v>8000</v>
      </c>
      <c r="G93" s="29">
        <f>SUM(G85:G92)</f>
        <v>8000</v>
      </c>
      <c r="H93" s="22">
        <f t="shared" si="20"/>
        <v>0</v>
      </c>
      <c r="I93" s="20">
        <f t="shared" si="21"/>
        <v>0</v>
      </c>
      <c r="J93" s="20">
        <f>F93/F$159</f>
        <v>0.01145413870246085</v>
      </c>
      <c r="K93" s="20">
        <f>F93/F$173</f>
        <v>0.01137272323411817</v>
      </c>
      <c r="L93" s="37"/>
    </row>
    <row r="94" spans="2:11" ht="12.75">
      <c r="B94" s="5">
        <f t="shared" si="0"/>
        <v>88</v>
      </c>
      <c r="D94" s="6"/>
      <c r="E94" s="21">
        <f t="shared" si="22"/>
        <v>0</v>
      </c>
      <c r="F94" s="21"/>
      <c r="G94" s="21"/>
      <c r="H94" s="22"/>
      <c r="I94" s="20"/>
      <c r="J94" s="20"/>
      <c r="K94" s="20"/>
    </row>
    <row r="95" spans="2:11" ht="12.75">
      <c r="B95" s="5">
        <f t="shared" si="0"/>
        <v>89</v>
      </c>
      <c r="D95" s="11" t="s">
        <v>115</v>
      </c>
      <c r="E95" s="21">
        <f t="shared" si="22"/>
        <v>0</v>
      </c>
      <c r="F95" s="21"/>
      <c r="G95" s="21"/>
      <c r="H95" s="22"/>
      <c r="I95" s="20"/>
      <c r="J95" s="20"/>
      <c r="K95" s="20"/>
    </row>
    <row r="96" spans="2:11" ht="12.75">
      <c r="B96" s="5">
        <f t="shared" si="0"/>
        <v>90</v>
      </c>
      <c r="C96" s="4">
        <v>8010</v>
      </c>
      <c r="D96" s="4" t="s">
        <v>116</v>
      </c>
      <c r="E96" s="21"/>
      <c r="F96" s="21">
        <v>1000</v>
      </c>
      <c r="G96" s="21">
        <v>1000</v>
      </c>
      <c r="H96" s="22">
        <f aca="true" t="shared" si="23" ref="H96:H109">F96-G96</f>
        <v>0</v>
      </c>
      <c r="I96" s="20">
        <f aca="true" t="shared" si="24" ref="I96:I109">H96/G96</f>
        <v>0</v>
      </c>
      <c r="J96" s="20"/>
      <c r="K96" s="20"/>
    </row>
    <row r="97" spans="2:14" ht="12.75">
      <c r="B97" s="5">
        <f t="shared" si="0"/>
        <v>91</v>
      </c>
      <c r="C97" s="4">
        <v>8015</v>
      </c>
      <c r="D97" s="4" t="s">
        <v>117</v>
      </c>
      <c r="E97" s="21">
        <f>+H88/8*12</f>
        <v>0</v>
      </c>
      <c r="F97" s="21">
        <v>1000</v>
      </c>
      <c r="G97" s="21">
        <v>1000</v>
      </c>
      <c r="H97" s="22">
        <f t="shared" si="23"/>
        <v>0</v>
      </c>
      <c r="I97" s="20">
        <f t="shared" si="24"/>
        <v>0</v>
      </c>
      <c r="J97" s="20"/>
      <c r="K97" s="20"/>
      <c r="N97" s="4" t="s">
        <v>118</v>
      </c>
    </row>
    <row r="98" spans="2:11" ht="12.75">
      <c r="B98" s="5">
        <f t="shared" si="0"/>
        <v>92</v>
      </c>
      <c r="C98" s="4">
        <v>8020</v>
      </c>
      <c r="D98" s="4" t="s">
        <v>119</v>
      </c>
      <c r="E98" s="21"/>
      <c r="F98" s="21">
        <v>1000</v>
      </c>
      <c r="G98" s="21">
        <v>1000</v>
      </c>
      <c r="H98" s="22">
        <f t="shared" si="23"/>
        <v>0</v>
      </c>
      <c r="I98" s="20">
        <f t="shared" si="24"/>
        <v>0</v>
      </c>
      <c r="J98" s="20"/>
      <c r="K98" s="20"/>
    </row>
    <row r="99" spans="2:11" ht="12.75">
      <c r="B99" s="5">
        <f t="shared" si="0"/>
        <v>93</v>
      </c>
      <c r="C99" s="4">
        <v>8025</v>
      </c>
      <c r="D99" s="4" t="s">
        <v>120</v>
      </c>
      <c r="E99" s="21"/>
      <c r="F99" s="21">
        <v>1000</v>
      </c>
      <c r="G99" s="21">
        <v>1000</v>
      </c>
      <c r="H99" s="22">
        <f t="shared" si="23"/>
        <v>0</v>
      </c>
      <c r="I99" s="20">
        <f t="shared" si="24"/>
        <v>0</v>
      </c>
      <c r="J99" s="20"/>
      <c r="K99" s="20"/>
    </row>
    <row r="100" spans="2:11" ht="12.75">
      <c r="B100" s="5">
        <f t="shared" si="0"/>
        <v>94</v>
      </c>
      <c r="C100" s="4">
        <v>8030</v>
      </c>
      <c r="D100" s="4" t="s">
        <v>84</v>
      </c>
      <c r="E100" s="21"/>
      <c r="F100" s="21">
        <v>1000</v>
      </c>
      <c r="G100" s="21">
        <v>1000</v>
      </c>
      <c r="H100" s="22">
        <f t="shared" si="23"/>
        <v>0</v>
      </c>
      <c r="I100" s="20">
        <f t="shared" si="24"/>
        <v>0</v>
      </c>
      <c r="J100" s="20"/>
      <c r="K100" s="20"/>
    </row>
    <row r="101" spans="2:11" ht="12.75">
      <c r="B101" s="5">
        <f t="shared" si="0"/>
        <v>95</v>
      </c>
      <c r="C101" s="4">
        <v>8035</v>
      </c>
      <c r="D101" s="4" t="s">
        <v>121</v>
      </c>
      <c r="E101" s="21">
        <f>+H89/8*12</f>
        <v>0</v>
      </c>
      <c r="F101" s="21">
        <v>1000</v>
      </c>
      <c r="G101" s="21">
        <v>1000</v>
      </c>
      <c r="H101" s="22">
        <f t="shared" si="23"/>
        <v>0</v>
      </c>
      <c r="I101" s="20">
        <f t="shared" si="24"/>
        <v>0</v>
      </c>
      <c r="J101" s="20"/>
      <c r="K101" s="20"/>
    </row>
    <row r="102" spans="2:11" ht="12.75">
      <c r="B102" s="5">
        <f t="shared" si="0"/>
        <v>96</v>
      </c>
      <c r="C102" s="4">
        <v>8040</v>
      </c>
      <c r="D102" s="4" t="s">
        <v>122</v>
      </c>
      <c r="E102" s="21"/>
      <c r="F102" s="21">
        <v>1000</v>
      </c>
      <c r="G102" s="21">
        <v>1000</v>
      </c>
      <c r="H102" s="22">
        <f t="shared" si="23"/>
        <v>0</v>
      </c>
      <c r="I102" s="20">
        <f t="shared" si="24"/>
        <v>0</v>
      </c>
      <c r="J102" s="20"/>
      <c r="K102" s="20"/>
    </row>
    <row r="103" spans="2:11" ht="12.75">
      <c r="B103" s="5">
        <f t="shared" si="0"/>
        <v>97</v>
      </c>
      <c r="C103" s="4">
        <v>8045</v>
      </c>
      <c r="D103" s="4" t="s">
        <v>123</v>
      </c>
      <c r="E103" s="21"/>
      <c r="F103" s="21">
        <v>1000</v>
      </c>
      <c r="G103" s="21">
        <v>1000</v>
      </c>
      <c r="H103" s="22">
        <f t="shared" si="23"/>
        <v>0</v>
      </c>
      <c r="I103" s="20">
        <f t="shared" si="24"/>
        <v>0</v>
      </c>
      <c r="J103" s="20"/>
      <c r="K103" s="20"/>
    </row>
    <row r="104" spans="2:14" ht="12.75">
      <c r="B104" s="5">
        <f t="shared" si="0"/>
        <v>98</v>
      </c>
      <c r="C104" s="4">
        <v>8050</v>
      </c>
      <c r="D104" s="4" t="s">
        <v>124</v>
      </c>
      <c r="E104" s="21">
        <f aca="true" t="shared" si="25" ref="E104:E105">+H90/8*12</f>
        <v>0</v>
      </c>
      <c r="F104" s="21">
        <v>1000</v>
      </c>
      <c r="G104" s="21">
        <v>1000</v>
      </c>
      <c r="H104" s="22">
        <f t="shared" si="23"/>
        <v>0</v>
      </c>
      <c r="I104" s="20">
        <f t="shared" si="24"/>
        <v>0</v>
      </c>
      <c r="J104" s="20"/>
      <c r="K104" s="20"/>
      <c r="N104" s="4" t="s">
        <v>125</v>
      </c>
    </row>
    <row r="105" spans="2:11" ht="12.75">
      <c r="B105" s="5">
        <f t="shared" si="0"/>
        <v>99</v>
      </c>
      <c r="C105" s="4">
        <v>8055</v>
      </c>
      <c r="D105" s="4" t="s">
        <v>126</v>
      </c>
      <c r="E105" s="21">
        <f t="shared" si="25"/>
        <v>0</v>
      </c>
      <c r="F105" s="21">
        <v>1000</v>
      </c>
      <c r="G105" s="21">
        <v>1000</v>
      </c>
      <c r="H105" s="22">
        <f t="shared" si="23"/>
        <v>0</v>
      </c>
      <c r="I105" s="20">
        <f t="shared" si="24"/>
        <v>0</v>
      </c>
      <c r="J105" s="20"/>
      <c r="K105" s="20"/>
    </row>
    <row r="106" spans="2:11" ht="12.75">
      <c r="B106" s="5">
        <f t="shared" si="0"/>
        <v>100</v>
      </c>
      <c r="C106" s="4">
        <v>8060</v>
      </c>
      <c r="D106" s="4" t="s">
        <v>127</v>
      </c>
      <c r="E106" s="21">
        <f>+H93/8*12</f>
        <v>0</v>
      </c>
      <c r="F106" s="21">
        <v>1000</v>
      </c>
      <c r="G106" s="21">
        <v>1000</v>
      </c>
      <c r="H106" s="22">
        <f t="shared" si="23"/>
        <v>0</v>
      </c>
      <c r="I106" s="20">
        <f t="shared" si="24"/>
        <v>0</v>
      </c>
      <c r="J106" s="20"/>
      <c r="K106" s="20"/>
    </row>
    <row r="107" spans="2:11" ht="12.75">
      <c r="B107" s="5">
        <f t="shared" si="0"/>
        <v>101</v>
      </c>
      <c r="C107" s="4">
        <v>8065</v>
      </c>
      <c r="D107" s="4" t="s">
        <v>128</v>
      </c>
      <c r="E107" s="21"/>
      <c r="F107" s="21">
        <v>1000</v>
      </c>
      <c r="G107" s="21">
        <v>1000</v>
      </c>
      <c r="H107" s="22">
        <f t="shared" si="23"/>
        <v>0</v>
      </c>
      <c r="I107" s="20">
        <f t="shared" si="24"/>
        <v>0</v>
      </c>
      <c r="J107" s="20"/>
      <c r="K107" s="20"/>
    </row>
    <row r="108" spans="2:11" ht="12.75">
      <c r="B108" s="5">
        <f t="shared" si="0"/>
        <v>102</v>
      </c>
      <c r="C108" s="4">
        <v>8070</v>
      </c>
      <c r="D108" s="4" t="s">
        <v>129</v>
      </c>
      <c r="E108" s="21">
        <f aca="true" t="shared" si="26" ref="E108:E109">+H94/8*12</f>
        <v>0</v>
      </c>
      <c r="F108" s="25">
        <v>1000</v>
      </c>
      <c r="G108" s="25">
        <v>1000</v>
      </c>
      <c r="H108" s="26">
        <f t="shared" si="23"/>
        <v>0</v>
      </c>
      <c r="I108" s="27">
        <f t="shared" si="24"/>
        <v>0</v>
      </c>
      <c r="J108" s="20"/>
      <c r="K108" s="20"/>
    </row>
    <row r="109" spans="2:12" ht="12.75">
      <c r="B109" s="5">
        <f t="shared" si="0"/>
        <v>103</v>
      </c>
      <c r="D109" s="11" t="s">
        <v>130</v>
      </c>
      <c r="E109" s="29">
        <f t="shared" si="26"/>
        <v>0</v>
      </c>
      <c r="F109" s="29">
        <f>SUM(F96:F108)</f>
        <v>13000</v>
      </c>
      <c r="G109" s="29">
        <f>SUM(G96:G108)</f>
        <v>13000</v>
      </c>
      <c r="H109" s="22">
        <f t="shared" si="23"/>
        <v>0</v>
      </c>
      <c r="I109" s="20">
        <f t="shared" si="24"/>
        <v>0</v>
      </c>
      <c r="J109" s="20">
        <f>F109/F$159</f>
        <v>0.018612975391498882</v>
      </c>
      <c r="K109" s="20">
        <f>F109/F$173</f>
        <v>0.018480675255442027</v>
      </c>
      <c r="L109" s="37"/>
    </row>
    <row r="110" spans="2:11" ht="12.75">
      <c r="B110" s="5">
        <f t="shared" si="0"/>
        <v>104</v>
      </c>
      <c r="D110" s="6"/>
      <c r="E110" s="21"/>
      <c r="F110" s="21"/>
      <c r="G110" s="21"/>
      <c r="H110" s="22"/>
      <c r="I110" s="20"/>
      <c r="J110" s="20"/>
      <c r="K110" s="20"/>
    </row>
    <row r="111" spans="2:11" ht="12.75">
      <c r="B111" s="5">
        <f t="shared" si="0"/>
        <v>105</v>
      </c>
      <c r="D111" s="11" t="s">
        <v>131</v>
      </c>
      <c r="E111" s="21"/>
      <c r="F111" s="21"/>
      <c r="G111" s="21"/>
      <c r="H111" s="22"/>
      <c r="I111" s="20"/>
      <c r="J111" s="20"/>
      <c r="K111" s="20"/>
    </row>
    <row r="112" spans="2:11" ht="12.75">
      <c r="B112" s="5">
        <f t="shared" si="0"/>
        <v>106</v>
      </c>
      <c r="C112" s="4">
        <v>8810</v>
      </c>
      <c r="D112" s="11" t="s">
        <v>132</v>
      </c>
      <c r="E112" s="21"/>
      <c r="F112" s="21">
        <f>302.04*550</f>
        <v>166122</v>
      </c>
      <c r="G112" s="21">
        <f>298.32*510</f>
        <v>152143.19999999998</v>
      </c>
      <c r="H112" s="22">
        <f>F112-G112</f>
        <v>13978.800000000017</v>
      </c>
      <c r="I112" s="20">
        <f>H112/G112</f>
        <v>0.0918792295679335</v>
      </c>
      <c r="J112" s="20"/>
      <c r="K112" s="20"/>
    </row>
    <row r="113" spans="2:11" ht="12.75">
      <c r="B113" s="5">
        <f t="shared" si="0"/>
        <v>107</v>
      </c>
      <c r="D113" s="6" t="s">
        <v>133</v>
      </c>
      <c r="E113" s="21"/>
      <c r="F113" s="21"/>
      <c r="G113" s="21"/>
      <c r="H113" s="22"/>
      <c r="I113" s="20"/>
      <c r="J113" s="20"/>
      <c r="K113" s="20"/>
    </row>
    <row r="114" spans="2:11" ht="12.75">
      <c r="B114" s="5">
        <f t="shared" si="0"/>
        <v>108</v>
      </c>
      <c r="D114" s="6" t="s">
        <v>134</v>
      </c>
      <c r="E114" s="21"/>
      <c r="F114" s="21"/>
      <c r="G114" s="21"/>
      <c r="H114" s="22"/>
      <c r="I114" s="20"/>
      <c r="J114" s="20"/>
      <c r="K114" s="20"/>
    </row>
    <row r="115" spans="2:11" ht="12.75">
      <c r="B115" s="5">
        <f t="shared" si="0"/>
        <v>109</v>
      </c>
      <c r="D115" s="6" t="s">
        <v>135</v>
      </c>
      <c r="E115" s="21"/>
      <c r="F115" s="21"/>
      <c r="G115" s="21"/>
      <c r="H115" s="22"/>
      <c r="I115" s="20"/>
      <c r="J115" s="20"/>
      <c r="K115" s="20"/>
    </row>
    <row r="116" spans="2:11" ht="12.75">
      <c r="B116" s="5">
        <f t="shared" si="0"/>
        <v>110</v>
      </c>
      <c r="D116" s="6" t="s">
        <v>136</v>
      </c>
      <c r="E116" s="21"/>
      <c r="F116" s="21"/>
      <c r="G116" s="21"/>
      <c r="H116" s="22"/>
      <c r="I116" s="20"/>
      <c r="J116" s="20"/>
      <c r="K116" s="20"/>
    </row>
    <row r="117" spans="2:11" ht="12.75">
      <c r="B117" s="5">
        <f t="shared" si="0"/>
        <v>111</v>
      </c>
      <c r="D117" s="6" t="s">
        <v>137</v>
      </c>
      <c r="E117" s="21"/>
      <c r="F117" s="21"/>
      <c r="G117" s="21"/>
      <c r="H117" s="22"/>
      <c r="I117" s="20"/>
      <c r="J117" s="20"/>
      <c r="K117" s="20"/>
    </row>
    <row r="118" spans="2:11" ht="12.75">
      <c r="B118" s="5">
        <f t="shared" si="0"/>
        <v>112</v>
      </c>
      <c r="D118" s="6" t="s">
        <v>138</v>
      </c>
      <c r="E118" s="21"/>
      <c r="F118" s="21"/>
      <c r="G118" s="21"/>
      <c r="H118" s="22"/>
      <c r="I118" s="20"/>
      <c r="J118" s="20"/>
      <c r="K118" s="20"/>
    </row>
    <row r="119" spans="2:11" ht="12.75">
      <c r="B119" s="5">
        <f t="shared" si="0"/>
        <v>113</v>
      </c>
      <c r="D119" s="6" t="s">
        <v>139</v>
      </c>
      <c r="E119" s="21"/>
      <c r="F119" s="21"/>
      <c r="G119" s="21"/>
      <c r="H119" s="22"/>
      <c r="I119" s="20"/>
      <c r="J119" s="20"/>
      <c r="K119" s="20"/>
    </row>
    <row r="120" spans="2:11" ht="12.75">
      <c r="B120" s="5">
        <f t="shared" si="0"/>
        <v>114</v>
      </c>
      <c r="C120" s="4">
        <v>8820</v>
      </c>
      <c r="D120" s="11" t="s">
        <v>140</v>
      </c>
      <c r="E120" s="21"/>
      <c r="F120" s="21">
        <f>36.13*550</f>
        <v>19871.5</v>
      </c>
      <c r="G120" s="21">
        <f>35.67*510</f>
        <v>18191.7</v>
      </c>
      <c r="H120" s="19">
        <f>F120-G120</f>
        <v>1679.7999999999993</v>
      </c>
      <c r="I120" s="20">
        <f>H120/G120</f>
        <v>0.09233881385466994</v>
      </c>
      <c r="J120" s="20"/>
      <c r="K120" s="20"/>
    </row>
    <row r="121" spans="2:11" ht="12.75">
      <c r="B121" s="5">
        <f t="shared" si="0"/>
        <v>115</v>
      </c>
      <c r="D121" s="6" t="s">
        <v>141</v>
      </c>
      <c r="E121" s="21"/>
      <c r="F121" s="21"/>
      <c r="G121" s="21"/>
      <c r="H121" s="19"/>
      <c r="I121" s="20"/>
      <c r="J121" s="20"/>
      <c r="K121" s="20"/>
    </row>
    <row r="122" spans="2:11" ht="12.75">
      <c r="B122" s="5">
        <f t="shared" si="0"/>
        <v>116</v>
      </c>
      <c r="D122" s="6" t="s">
        <v>142</v>
      </c>
      <c r="E122" s="21"/>
      <c r="F122" s="25"/>
      <c r="G122" s="25"/>
      <c r="H122" s="26"/>
      <c r="I122" s="27"/>
      <c r="J122" s="20"/>
      <c r="K122" s="20"/>
    </row>
    <row r="123" spans="2:14" ht="12.75">
      <c r="B123" s="5">
        <f t="shared" si="0"/>
        <v>117</v>
      </c>
      <c r="D123" s="11" t="s">
        <v>143</v>
      </c>
      <c r="E123" s="21"/>
      <c r="F123" s="29">
        <f>SUM(F112:F122)</f>
        <v>185993.5</v>
      </c>
      <c r="G123" s="29">
        <f>SUM(G112:G122)</f>
        <v>170334.9</v>
      </c>
      <c r="H123" s="22">
        <f>F123-G123</f>
        <v>15658.600000000006</v>
      </c>
      <c r="I123" s="20">
        <f>H123/G123</f>
        <v>0.09192831298811932</v>
      </c>
      <c r="J123" s="20">
        <f>F123/F$159</f>
        <v>0.26629941834451903</v>
      </c>
      <c r="K123" s="20">
        <f>F123/F$173</f>
        <v>0.26440657485561975</v>
      </c>
      <c r="L123" s="37"/>
      <c r="N123" s="4" t="s">
        <v>144</v>
      </c>
    </row>
    <row r="124" spans="2:11" ht="12.75">
      <c r="B124" s="5">
        <f t="shared" si="0"/>
        <v>118</v>
      </c>
      <c r="D124" s="6"/>
      <c r="E124" s="21"/>
      <c r="F124" s="21"/>
      <c r="G124" s="21"/>
      <c r="H124" s="22"/>
      <c r="I124" s="20"/>
      <c r="J124" s="20"/>
      <c r="K124" s="20"/>
    </row>
    <row r="125" spans="2:11" ht="12.75">
      <c r="B125" s="5">
        <f t="shared" si="0"/>
        <v>119</v>
      </c>
      <c r="D125" s="11" t="s">
        <v>145</v>
      </c>
      <c r="E125" s="21">
        <f>+H111/8*12</f>
        <v>0</v>
      </c>
      <c r="F125" s="21"/>
      <c r="G125" s="21"/>
      <c r="H125" s="22"/>
      <c r="I125" s="20"/>
      <c r="J125" s="20"/>
      <c r="K125" s="20"/>
    </row>
    <row r="126" spans="2:11" ht="12.75">
      <c r="B126" s="5">
        <f t="shared" si="0"/>
        <v>120</v>
      </c>
      <c r="C126" s="4">
        <v>5510</v>
      </c>
      <c r="D126" s="6" t="s">
        <v>146</v>
      </c>
      <c r="E126" s="21"/>
      <c r="F126" s="21">
        <v>1000</v>
      </c>
      <c r="G126" s="21">
        <v>1000</v>
      </c>
      <c r="H126" s="22">
        <f aca="true" t="shared" si="27" ref="H126:H137">F126-G126</f>
        <v>0</v>
      </c>
      <c r="I126" s="20">
        <f aca="true" t="shared" si="28" ref="I126:I137">H126/G126</f>
        <v>0</v>
      </c>
      <c r="J126" s="20"/>
      <c r="K126" s="20"/>
    </row>
    <row r="127" spans="2:14" ht="12.75">
      <c r="B127" s="5">
        <f t="shared" si="0"/>
        <v>121</v>
      </c>
      <c r="C127" s="4">
        <v>5515</v>
      </c>
      <c r="D127" s="6" t="s">
        <v>147</v>
      </c>
      <c r="E127" s="21">
        <f aca="true" t="shared" si="29" ref="E127:E128">+H112/8*12</f>
        <v>20968.200000000026</v>
      </c>
      <c r="F127" s="21">
        <v>1000</v>
      </c>
      <c r="G127" s="21">
        <v>1000</v>
      </c>
      <c r="H127" s="22">
        <f t="shared" si="27"/>
        <v>0</v>
      </c>
      <c r="I127" s="20">
        <f t="shared" si="28"/>
        <v>0</v>
      </c>
      <c r="J127" s="20"/>
      <c r="K127" s="20"/>
      <c r="N127" s="4" t="s">
        <v>148</v>
      </c>
    </row>
    <row r="128" spans="2:14" ht="12.75">
      <c r="B128" s="5">
        <f t="shared" si="0"/>
        <v>122</v>
      </c>
      <c r="C128" s="4">
        <v>5520</v>
      </c>
      <c r="D128" s="6" t="s">
        <v>149</v>
      </c>
      <c r="E128" s="21">
        <f t="shared" si="29"/>
        <v>0</v>
      </c>
      <c r="F128" s="21">
        <v>1000</v>
      </c>
      <c r="G128" s="21">
        <v>1000</v>
      </c>
      <c r="H128" s="22">
        <f t="shared" si="27"/>
        <v>0</v>
      </c>
      <c r="I128" s="20">
        <f t="shared" si="28"/>
        <v>0</v>
      </c>
      <c r="J128" s="20"/>
      <c r="K128" s="20"/>
      <c r="N128" s="4" t="s">
        <v>150</v>
      </c>
    </row>
    <row r="129" spans="2:11" ht="12.75">
      <c r="B129" s="5">
        <f t="shared" si="0"/>
        <v>123</v>
      </c>
      <c r="C129" s="4">
        <v>5525</v>
      </c>
      <c r="D129" s="6" t="s">
        <v>151</v>
      </c>
      <c r="E129" s="21"/>
      <c r="F129" s="21">
        <v>1000</v>
      </c>
      <c r="G129" s="21">
        <v>1000</v>
      </c>
      <c r="H129" s="22">
        <f t="shared" si="27"/>
        <v>0</v>
      </c>
      <c r="I129" s="20">
        <f t="shared" si="28"/>
        <v>0</v>
      </c>
      <c r="J129" s="20"/>
      <c r="K129" s="20"/>
    </row>
    <row r="130" spans="2:11" ht="12.75">
      <c r="B130" s="5">
        <f t="shared" si="0"/>
        <v>124</v>
      </c>
      <c r="C130" s="4">
        <v>5530</v>
      </c>
      <c r="D130" s="6" t="s">
        <v>152</v>
      </c>
      <c r="E130" s="21"/>
      <c r="F130" s="21">
        <v>1000</v>
      </c>
      <c r="G130" s="21">
        <v>1000</v>
      </c>
      <c r="H130" s="22">
        <f t="shared" si="27"/>
        <v>0</v>
      </c>
      <c r="I130" s="20">
        <f t="shared" si="28"/>
        <v>0</v>
      </c>
      <c r="J130" s="20"/>
      <c r="K130" s="20"/>
    </row>
    <row r="131" spans="2:11" ht="12.75">
      <c r="B131" s="5">
        <f t="shared" si="0"/>
        <v>125</v>
      </c>
      <c r="C131" s="4">
        <v>5540</v>
      </c>
      <c r="D131" s="6" t="s">
        <v>153</v>
      </c>
      <c r="E131" s="21"/>
      <c r="F131" s="21">
        <v>1000</v>
      </c>
      <c r="G131" s="21">
        <v>1000</v>
      </c>
      <c r="H131" s="22">
        <f t="shared" si="27"/>
        <v>0</v>
      </c>
      <c r="I131" s="20">
        <f t="shared" si="28"/>
        <v>0</v>
      </c>
      <c r="J131" s="20"/>
      <c r="K131" s="20"/>
    </row>
    <row r="132" spans="2:11" ht="12.75">
      <c r="B132" s="5">
        <f t="shared" si="0"/>
        <v>126</v>
      </c>
      <c r="C132" s="4">
        <v>5550</v>
      </c>
      <c r="D132" s="6" t="s">
        <v>154</v>
      </c>
      <c r="E132" s="21"/>
      <c r="F132" s="21">
        <v>1000</v>
      </c>
      <c r="G132" s="21">
        <v>1000</v>
      </c>
      <c r="H132" s="22">
        <f t="shared" si="27"/>
        <v>0</v>
      </c>
      <c r="I132" s="20">
        <f t="shared" si="28"/>
        <v>0</v>
      </c>
      <c r="J132" s="20"/>
      <c r="K132" s="20"/>
    </row>
    <row r="133" spans="2:11" ht="12.75">
      <c r="B133" s="5">
        <f t="shared" si="0"/>
        <v>127</v>
      </c>
      <c r="C133" s="4">
        <v>5560</v>
      </c>
      <c r="D133" s="6" t="s">
        <v>155</v>
      </c>
      <c r="E133" s="21">
        <f aca="true" t="shared" si="30" ref="E133:E134">+H114/8*12</f>
        <v>0</v>
      </c>
      <c r="F133" s="21">
        <v>1000</v>
      </c>
      <c r="G133" s="21">
        <v>1000</v>
      </c>
      <c r="H133" s="22">
        <f t="shared" si="27"/>
        <v>0</v>
      </c>
      <c r="I133" s="20">
        <f t="shared" si="28"/>
        <v>0</v>
      </c>
      <c r="J133" s="20"/>
      <c r="K133" s="20"/>
    </row>
    <row r="134" spans="2:14" ht="12.75">
      <c r="B134" s="5">
        <f t="shared" si="0"/>
        <v>128</v>
      </c>
      <c r="C134" s="4">
        <v>5570</v>
      </c>
      <c r="D134" s="6" t="s">
        <v>156</v>
      </c>
      <c r="E134" s="21">
        <f t="shared" si="30"/>
        <v>0</v>
      </c>
      <c r="F134" s="21">
        <v>1000</v>
      </c>
      <c r="G134" s="21">
        <v>1000</v>
      </c>
      <c r="H134" s="22">
        <f t="shared" si="27"/>
        <v>0</v>
      </c>
      <c r="I134" s="20">
        <f t="shared" si="28"/>
        <v>0</v>
      </c>
      <c r="J134" s="20"/>
      <c r="K134" s="20"/>
      <c r="L134" s="7" t="s">
        <v>34</v>
      </c>
      <c r="N134" s="4" t="s">
        <v>157</v>
      </c>
    </row>
    <row r="135" spans="2:11" ht="12.75">
      <c r="B135" s="5">
        <f t="shared" si="0"/>
        <v>129</v>
      </c>
      <c r="C135" s="4">
        <v>5575</v>
      </c>
      <c r="D135" s="6" t="s">
        <v>158</v>
      </c>
      <c r="E135" s="21"/>
      <c r="F135" s="21">
        <v>1000</v>
      </c>
      <c r="G135" s="21">
        <v>1000</v>
      </c>
      <c r="H135" s="22">
        <f t="shared" si="27"/>
        <v>0</v>
      </c>
      <c r="I135" s="20">
        <f t="shared" si="28"/>
        <v>0</v>
      </c>
      <c r="J135" s="20"/>
      <c r="K135" s="20"/>
    </row>
    <row r="136" spans="2:14" ht="12.75">
      <c r="B136" s="5">
        <f t="shared" si="0"/>
        <v>130</v>
      </c>
      <c r="C136" s="4">
        <v>5579</v>
      </c>
      <c r="D136" s="6" t="s">
        <v>159</v>
      </c>
      <c r="E136" s="21"/>
      <c r="F136" s="25">
        <v>1000</v>
      </c>
      <c r="G136" s="25">
        <v>1000</v>
      </c>
      <c r="H136" s="26">
        <f t="shared" si="27"/>
        <v>0</v>
      </c>
      <c r="I136" s="27">
        <f t="shared" si="28"/>
        <v>0</v>
      </c>
      <c r="J136" s="20"/>
      <c r="K136" s="20"/>
      <c r="L136" s="7" t="s">
        <v>34</v>
      </c>
      <c r="N136" s="4" t="s">
        <v>160</v>
      </c>
    </row>
    <row r="137" spans="2:12" ht="12.75">
      <c r="B137" s="5">
        <f t="shared" si="0"/>
        <v>131</v>
      </c>
      <c r="D137" s="11" t="s">
        <v>161</v>
      </c>
      <c r="E137" s="29">
        <f>+H118/8*12</f>
        <v>0</v>
      </c>
      <c r="F137" s="29">
        <f>SUM(F126:F136)</f>
        <v>11000</v>
      </c>
      <c r="G137" s="29">
        <f>SUM(G126:G136)</f>
        <v>11000</v>
      </c>
      <c r="H137" s="22">
        <f t="shared" si="27"/>
        <v>0</v>
      </c>
      <c r="I137" s="20">
        <f t="shared" si="28"/>
        <v>0</v>
      </c>
      <c r="J137" s="20">
        <f>F137/F$159</f>
        <v>0.01574944071588367</v>
      </c>
      <c r="K137" s="20">
        <f>F137/F$173</f>
        <v>0.015637494446912484</v>
      </c>
      <c r="L137" s="37"/>
    </row>
    <row r="138" spans="2:12" ht="12.75">
      <c r="B138" s="5">
        <f t="shared" si="0"/>
        <v>132</v>
      </c>
      <c r="D138" s="11"/>
      <c r="E138" s="29"/>
      <c r="F138" s="29"/>
      <c r="G138" s="29"/>
      <c r="H138" s="22"/>
      <c r="I138" s="20"/>
      <c r="J138" s="20"/>
      <c r="K138" s="20"/>
      <c r="L138" s="37"/>
    </row>
    <row r="139" spans="2:11" ht="12.75">
      <c r="B139" s="5">
        <f t="shared" si="0"/>
        <v>133</v>
      </c>
      <c r="D139" s="11" t="s">
        <v>162</v>
      </c>
      <c r="E139" s="21">
        <f aca="true" t="shared" si="31" ref="E139:E141">+H120/8*12</f>
        <v>2519.699999999999</v>
      </c>
      <c r="F139" s="21"/>
      <c r="G139" s="21"/>
      <c r="H139" s="22"/>
      <c r="I139" s="20"/>
      <c r="J139" s="20"/>
      <c r="K139" s="20"/>
    </row>
    <row r="140" spans="2:11" ht="12.75">
      <c r="B140" s="5">
        <f t="shared" si="0"/>
        <v>134</v>
      </c>
      <c r="C140" s="4">
        <v>5110</v>
      </c>
      <c r="D140" s="4" t="s">
        <v>163</v>
      </c>
      <c r="E140" s="21">
        <f t="shared" si="31"/>
        <v>0</v>
      </c>
      <c r="F140" s="21">
        <v>1000</v>
      </c>
      <c r="G140" s="21">
        <v>1000</v>
      </c>
      <c r="H140" s="22">
        <f aca="true" t="shared" si="32" ref="H140:H155">F140-G140</f>
        <v>0</v>
      </c>
      <c r="I140" s="20">
        <f aca="true" t="shared" si="33" ref="I140:I155">H140/G140</f>
        <v>0</v>
      </c>
      <c r="J140" s="20"/>
      <c r="K140" s="20"/>
    </row>
    <row r="141" spans="2:14" ht="12.75">
      <c r="B141" s="5">
        <f t="shared" si="0"/>
        <v>135</v>
      </c>
      <c r="C141" s="4">
        <v>5115</v>
      </c>
      <c r="D141" s="4" t="s">
        <v>164</v>
      </c>
      <c r="E141" s="21">
        <f t="shared" si="31"/>
        <v>0</v>
      </c>
      <c r="F141" s="21">
        <v>1000</v>
      </c>
      <c r="G141" s="21">
        <v>1000</v>
      </c>
      <c r="H141" s="22">
        <f t="shared" si="32"/>
        <v>0</v>
      </c>
      <c r="I141" s="20">
        <f t="shared" si="33"/>
        <v>0</v>
      </c>
      <c r="J141" s="20"/>
      <c r="K141" s="20"/>
      <c r="N141" s="4" t="s">
        <v>34</v>
      </c>
    </row>
    <row r="142" spans="2:11" ht="12.75">
      <c r="B142" s="5">
        <f t="shared" si="0"/>
        <v>136</v>
      </c>
      <c r="C142" s="4">
        <v>5120</v>
      </c>
      <c r="D142" s="4" t="s">
        <v>165</v>
      </c>
      <c r="E142" s="21"/>
      <c r="F142" s="21">
        <v>1000</v>
      </c>
      <c r="G142" s="21">
        <v>1000</v>
      </c>
      <c r="H142" s="22">
        <f t="shared" si="32"/>
        <v>0</v>
      </c>
      <c r="I142" s="20">
        <f t="shared" si="33"/>
        <v>0</v>
      </c>
      <c r="J142" s="20"/>
      <c r="K142" s="20"/>
    </row>
    <row r="143" spans="2:11" ht="12.75">
      <c r="B143" s="5">
        <f t="shared" si="0"/>
        <v>137</v>
      </c>
      <c r="C143" s="4">
        <v>5125</v>
      </c>
      <c r="D143" s="4" t="s">
        <v>166</v>
      </c>
      <c r="E143" s="21"/>
      <c r="F143" s="21">
        <v>1000</v>
      </c>
      <c r="G143" s="21">
        <v>1000</v>
      </c>
      <c r="H143" s="22">
        <f t="shared" si="32"/>
        <v>0</v>
      </c>
      <c r="I143" s="20">
        <f t="shared" si="33"/>
        <v>0</v>
      </c>
      <c r="J143" s="20"/>
      <c r="K143" s="20"/>
    </row>
    <row r="144" spans="2:11" ht="12.75">
      <c r="B144" s="5">
        <f t="shared" si="0"/>
        <v>138</v>
      </c>
      <c r="C144" s="4">
        <v>5130</v>
      </c>
      <c r="D144" s="4" t="s">
        <v>167</v>
      </c>
      <c r="E144" s="21"/>
      <c r="F144" s="21">
        <v>1000</v>
      </c>
      <c r="G144" s="21">
        <v>1000</v>
      </c>
      <c r="H144" s="22">
        <f t="shared" si="32"/>
        <v>0</v>
      </c>
      <c r="I144" s="20">
        <f t="shared" si="33"/>
        <v>0</v>
      </c>
      <c r="J144" s="20"/>
      <c r="K144" s="20"/>
    </row>
    <row r="145" spans="2:11" ht="12.75">
      <c r="B145" s="5">
        <f t="shared" si="0"/>
        <v>139</v>
      </c>
      <c r="C145" s="4">
        <v>5140</v>
      </c>
      <c r="D145" s="4" t="s">
        <v>168</v>
      </c>
      <c r="E145" s="21"/>
      <c r="F145" s="21">
        <v>1000</v>
      </c>
      <c r="G145" s="21">
        <v>1000</v>
      </c>
      <c r="H145" s="22">
        <f t="shared" si="32"/>
        <v>0</v>
      </c>
      <c r="I145" s="20">
        <f t="shared" si="33"/>
        <v>0</v>
      </c>
      <c r="J145" s="20"/>
      <c r="K145" s="20"/>
    </row>
    <row r="146" spans="2:11" ht="12.75">
      <c r="B146" s="5">
        <f t="shared" si="0"/>
        <v>140</v>
      </c>
      <c r="C146" s="4">
        <v>5150</v>
      </c>
      <c r="D146" s="4" t="s">
        <v>169</v>
      </c>
      <c r="E146" s="21"/>
      <c r="F146" s="21">
        <v>1000</v>
      </c>
      <c r="G146" s="21">
        <v>1000</v>
      </c>
      <c r="H146" s="22">
        <f t="shared" si="32"/>
        <v>0</v>
      </c>
      <c r="I146" s="20">
        <f t="shared" si="33"/>
        <v>0</v>
      </c>
      <c r="J146" s="20"/>
      <c r="K146" s="20"/>
    </row>
    <row r="147" spans="2:11" ht="12.75">
      <c r="B147" s="5">
        <f t="shared" si="0"/>
        <v>141</v>
      </c>
      <c r="C147" s="4">
        <v>5160</v>
      </c>
      <c r="D147" s="4" t="s">
        <v>170</v>
      </c>
      <c r="E147" s="21"/>
      <c r="F147" s="21">
        <v>1000</v>
      </c>
      <c r="G147" s="21">
        <v>1000</v>
      </c>
      <c r="H147" s="22">
        <f t="shared" si="32"/>
        <v>0</v>
      </c>
      <c r="I147" s="20">
        <f t="shared" si="33"/>
        <v>0</v>
      </c>
      <c r="J147" s="20"/>
      <c r="K147" s="20"/>
    </row>
    <row r="148" spans="2:11" ht="12.75">
      <c r="B148" s="5">
        <f t="shared" si="0"/>
        <v>142</v>
      </c>
      <c r="C148" s="4">
        <v>5170</v>
      </c>
      <c r="D148" s="4" t="s">
        <v>171</v>
      </c>
      <c r="E148" s="21"/>
      <c r="F148" s="21">
        <v>1000</v>
      </c>
      <c r="G148" s="21">
        <v>1000</v>
      </c>
      <c r="H148" s="22">
        <f t="shared" si="32"/>
        <v>0</v>
      </c>
      <c r="I148" s="20">
        <f t="shared" si="33"/>
        <v>0</v>
      </c>
      <c r="J148" s="20"/>
      <c r="K148" s="20"/>
    </row>
    <row r="149" spans="2:11" ht="12.75">
      <c r="B149" s="5">
        <f t="shared" si="0"/>
        <v>143</v>
      </c>
      <c r="C149" s="4">
        <v>5175</v>
      </c>
      <c r="D149" s="4" t="s">
        <v>172</v>
      </c>
      <c r="E149" s="21">
        <f>+H123/8*12</f>
        <v>23487.90000000001</v>
      </c>
      <c r="F149" s="21">
        <v>1000</v>
      </c>
      <c r="G149" s="21">
        <v>1000</v>
      </c>
      <c r="H149" s="22">
        <f t="shared" si="32"/>
        <v>0</v>
      </c>
      <c r="I149" s="20">
        <f t="shared" si="33"/>
        <v>0</v>
      </c>
      <c r="J149" s="20"/>
      <c r="K149" s="20"/>
    </row>
    <row r="150" spans="2:11" ht="12.75">
      <c r="B150" s="5">
        <f t="shared" si="0"/>
        <v>144</v>
      </c>
      <c r="C150" s="4">
        <v>5176</v>
      </c>
      <c r="D150" s="4" t="s">
        <v>173</v>
      </c>
      <c r="E150" s="21"/>
      <c r="F150" s="21">
        <v>1000</v>
      </c>
      <c r="G150" s="21">
        <v>1000</v>
      </c>
      <c r="H150" s="22">
        <f t="shared" si="32"/>
        <v>0</v>
      </c>
      <c r="I150" s="20">
        <f t="shared" si="33"/>
        <v>0</v>
      </c>
      <c r="J150" s="20"/>
      <c r="K150" s="20"/>
    </row>
    <row r="151" spans="2:11" ht="12.75">
      <c r="B151" s="5">
        <f t="shared" si="0"/>
        <v>145</v>
      </c>
      <c r="C151" s="4">
        <v>5180</v>
      </c>
      <c r="D151" s="4" t="s">
        <v>174</v>
      </c>
      <c r="E151" s="21"/>
      <c r="F151" s="21">
        <v>1000</v>
      </c>
      <c r="G151" s="21">
        <v>1000</v>
      </c>
      <c r="H151" s="22">
        <f t="shared" si="32"/>
        <v>0</v>
      </c>
      <c r="I151" s="20">
        <f t="shared" si="33"/>
        <v>0</v>
      </c>
      <c r="J151" s="20"/>
      <c r="K151" s="20"/>
    </row>
    <row r="152" spans="2:11" ht="12.75">
      <c r="B152" s="5">
        <f t="shared" si="0"/>
        <v>146</v>
      </c>
      <c r="C152" s="4">
        <v>5185</v>
      </c>
      <c r="D152" s="4" t="s">
        <v>175</v>
      </c>
      <c r="E152" s="21">
        <f>+H125/8*12</f>
        <v>0</v>
      </c>
      <c r="F152" s="21">
        <v>1000</v>
      </c>
      <c r="G152" s="21">
        <v>1000</v>
      </c>
      <c r="H152" s="22">
        <f t="shared" si="32"/>
        <v>0</v>
      </c>
      <c r="I152" s="20">
        <f t="shared" si="33"/>
        <v>0</v>
      </c>
      <c r="J152" s="20"/>
      <c r="K152" s="20"/>
    </row>
    <row r="153" spans="2:11" ht="12.75">
      <c r="B153" s="5">
        <f t="shared" si="0"/>
        <v>147</v>
      </c>
      <c r="C153" s="4">
        <v>5190</v>
      </c>
      <c r="D153" s="4" t="s">
        <v>176</v>
      </c>
      <c r="E153" s="21"/>
      <c r="F153" s="21">
        <v>1000</v>
      </c>
      <c r="G153" s="21">
        <v>1000</v>
      </c>
      <c r="H153" s="22">
        <f t="shared" si="32"/>
        <v>0</v>
      </c>
      <c r="I153" s="20">
        <f t="shared" si="33"/>
        <v>0</v>
      </c>
      <c r="J153" s="20"/>
      <c r="K153" s="20"/>
    </row>
    <row r="154" spans="2:11" ht="12.75">
      <c r="B154" s="5">
        <f t="shared" si="0"/>
        <v>148</v>
      </c>
      <c r="C154" s="4">
        <v>5195</v>
      </c>
      <c r="D154" s="4" t="s">
        <v>177</v>
      </c>
      <c r="E154" s="21">
        <f>+H128/8*12</f>
        <v>0</v>
      </c>
      <c r="F154" s="25">
        <v>1000</v>
      </c>
      <c r="G154" s="25">
        <v>1000</v>
      </c>
      <c r="H154" s="26">
        <f t="shared" si="32"/>
        <v>0</v>
      </c>
      <c r="I154" s="27">
        <f t="shared" si="33"/>
        <v>0</v>
      </c>
      <c r="J154" s="20"/>
      <c r="K154" s="20"/>
    </row>
    <row r="155" spans="2:12" ht="12.75">
      <c r="B155" s="5">
        <f t="shared" si="0"/>
        <v>149</v>
      </c>
      <c r="D155" s="11" t="s">
        <v>178</v>
      </c>
      <c r="E155" s="21"/>
      <c r="F155" s="29">
        <f>SUM(F140:F154)</f>
        <v>15000</v>
      </c>
      <c r="G155" s="29">
        <f>SUM(G140:G154)</f>
        <v>15000</v>
      </c>
      <c r="H155" s="22">
        <f t="shared" si="32"/>
        <v>0</v>
      </c>
      <c r="I155" s="20">
        <f t="shared" si="33"/>
        <v>0</v>
      </c>
      <c r="J155" s="20">
        <f>F155/F$159</f>
        <v>0.021476510067114093</v>
      </c>
      <c r="K155" s="20">
        <f>F155/F$173</f>
        <v>0.02132385606397157</v>
      </c>
      <c r="L155" s="37"/>
    </row>
    <row r="156" spans="2:8" ht="14.25" customHeight="1">
      <c r="B156" s="5">
        <f t="shared" si="0"/>
        <v>150</v>
      </c>
      <c r="D156" s="6"/>
      <c r="E156" s="21">
        <f aca="true" t="shared" si="34" ref="E156:E157">+H130/8*12</f>
        <v>0</v>
      </c>
      <c r="F156" s="21"/>
      <c r="G156" s="21"/>
      <c r="H156" s="22"/>
    </row>
    <row r="157" spans="2:14" ht="12.75">
      <c r="B157" s="5">
        <f t="shared" si="0"/>
        <v>151</v>
      </c>
      <c r="D157" s="11" t="s">
        <v>179</v>
      </c>
      <c r="E157" s="21">
        <f t="shared" si="34"/>
        <v>0</v>
      </c>
      <c r="F157" s="29">
        <v>1000</v>
      </c>
      <c r="G157" s="29">
        <v>1000</v>
      </c>
      <c r="H157" s="22">
        <f>F157-G157</f>
        <v>0</v>
      </c>
      <c r="I157" s="20">
        <f>H157/G157</f>
        <v>0</v>
      </c>
      <c r="J157" s="20">
        <f>F157/F$159</f>
        <v>0.0014317673378076063</v>
      </c>
      <c r="K157" s="20">
        <f>F157/F$173</f>
        <v>0.0014215904042647713</v>
      </c>
      <c r="N157" s="4" t="s">
        <v>180</v>
      </c>
    </row>
    <row r="158" spans="2:11" ht="12.75">
      <c r="B158" s="5">
        <f t="shared" si="0"/>
        <v>152</v>
      </c>
      <c r="D158" s="6"/>
      <c r="E158" s="21"/>
      <c r="F158" s="21"/>
      <c r="G158" s="29"/>
      <c r="H158" s="22"/>
      <c r="I158" s="20"/>
      <c r="J158" s="20"/>
      <c r="K158" s="20"/>
    </row>
    <row r="159" spans="2:12" ht="12.75">
      <c r="B159" s="5">
        <f t="shared" si="0"/>
        <v>153</v>
      </c>
      <c r="D159" s="10" t="s">
        <v>181</v>
      </c>
      <c r="E159" s="21" t="e">
        <f>SUM(#REF!)+SUM(E12:E21)+SUM(E127:E134)+SUM(E139:E156)+SUM(#REF!)+SUM(#REF!)+SUM(#REF!)+SUM(#REF!)+SUM(#REF!)+SUM(E157:E157)</f>
        <v>#REF!</v>
      </c>
      <c r="F159" s="42">
        <f>F24+F37+F48+F67+F82+F93+F109+F123+F137+F155+F157</f>
        <v>698437.5</v>
      </c>
      <c r="G159" s="43">
        <f>G24+G37+G48+G67+G82+G93+G109+G123+G137+G155+G157</f>
        <v>661684.9</v>
      </c>
      <c r="H159" s="44">
        <f>F159-G159</f>
        <v>36752.59999999998</v>
      </c>
      <c r="I159" s="45">
        <f>H159/G159</f>
        <v>0.055543960577005724</v>
      </c>
      <c r="J159" s="20">
        <f>F159/F$159</f>
        <v>1</v>
      </c>
      <c r="K159" s="20">
        <f>F159/F$173</f>
        <v>0.9928920479786761</v>
      </c>
      <c r="L159" s="37"/>
    </row>
    <row r="160" spans="2:12" ht="12.75">
      <c r="B160" s="5">
        <f t="shared" si="0"/>
        <v>154</v>
      </c>
      <c r="G160" s="38"/>
      <c r="H160" s="22"/>
      <c r="I160" s="46"/>
      <c r="J160" s="46"/>
      <c r="K160" s="46"/>
      <c r="L160" s="37"/>
    </row>
    <row r="161" spans="2:12" ht="21.75">
      <c r="B161" s="5">
        <f t="shared" si="0"/>
        <v>155</v>
      </c>
      <c r="D161" s="7" t="s">
        <v>182</v>
      </c>
      <c r="F161" s="21">
        <v>550</v>
      </c>
      <c r="G161" s="47">
        <v>510</v>
      </c>
      <c r="H161" s="22"/>
      <c r="I161" s="46"/>
      <c r="J161" s="46"/>
      <c r="K161" s="46"/>
      <c r="L161" s="37"/>
    </row>
    <row r="162" spans="2:12" ht="12.75">
      <c r="B162" s="5">
        <f t="shared" si="0"/>
        <v>156</v>
      </c>
      <c r="D162" s="10"/>
      <c r="G162" s="48"/>
      <c r="H162" s="22"/>
      <c r="I162" s="46"/>
      <c r="J162" s="46"/>
      <c r="K162" s="46"/>
      <c r="L162" s="37"/>
    </row>
    <row r="163" spans="2:14" ht="12.75">
      <c r="B163" s="5">
        <f t="shared" si="0"/>
        <v>157</v>
      </c>
      <c r="D163" s="49" t="s">
        <v>183</v>
      </c>
      <c r="E163" s="50" t="s">
        <v>184</v>
      </c>
      <c r="F163" s="51">
        <f>ROUND(F159/F161,0)</f>
        <v>1270</v>
      </c>
      <c r="G163" s="51">
        <f>ROUND(G159/G161,0)</f>
        <v>1297</v>
      </c>
      <c r="H163" s="52">
        <f>F163-G163</f>
        <v>-27</v>
      </c>
      <c r="I163" s="46">
        <f>H163/G163</f>
        <v>-0.02081727062451812</v>
      </c>
      <c r="J163" s="46"/>
      <c r="K163" s="46"/>
      <c r="N163" s="4" t="s">
        <v>185</v>
      </c>
    </row>
    <row r="164" spans="2:11" ht="12.75">
      <c r="B164" s="5">
        <f t="shared" si="0"/>
        <v>158</v>
      </c>
      <c r="H164" s="53"/>
      <c r="I164" s="46"/>
      <c r="J164" s="46"/>
      <c r="K164" s="46"/>
    </row>
    <row r="165" spans="2:11" ht="12.75">
      <c r="B165" s="5">
        <f t="shared" si="0"/>
        <v>159</v>
      </c>
      <c r="D165" s="11" t="s">
        <v>186</v>
      </c>
      <c r="H165" s="53"/>
      <c r="I165" s="46"/>
      <c r="J165" s="46"/>
      <c r="K165" s="46"/>
    </row>
    <row r="166" spans="2:11" ht="12.75">
      <c r="B166" s="5">
        <f t="shared" si="0"/>
        <v>160</v>
      </c>
      <c r="C166" s="4">
        <v>9010</v>
      </c>
      <c r="D166" s="4" t="s">
        <v>187</v>
      </c>
      <c r="F166" s="21">
        <v>1000</v>
      </c>
      <c r="G166" s="21">
        <v>1000</v>
      </c>
      <c r="H166" s="22">
        <f aca="true" t="shared" si="35" ref="H166:H171">F166-G166</f>
        <v>0</v>
      </c>
      <c r="I166" s="20">
        <f aca="true" t="shared" si="36" ref="I166:I171">H166/G166</f>
        <v>0</v>
      </c>
      <c r="J166" s="20"/>
      <c r="K166" s="20">
        <f aca="true" t="shared" si="37" ref="K166:K171">F166/F$173</f>
        <v>0.0014215904042647713</v>
      </c>
    </row>
    <row r="167" spans="2:11" ht="12.75">
      <c r="B167" s="5">
        <f t="shared" si="0"/>
        <v>161</v>
      </c>
      <c r="C167" s="4">
        <v>9020</v>
      </c>
      <c r="D167" s="4" t="s">
        <v>188</v>
      </c>
      <c r="F167" s="21">
        <v>1000</v>
      </c>
      <c r="G167" s="21">
        <v>1000</v>
      </c>
      <c r="H167" s="22">
        <f t="shared" si="35"/>
        <v>0</v>
      </c>
      <c r="I167" s="20">
        <f t="shared" si="36"/>
        <v>0</v>
      </c>
      <c r="J167" s="20"/>
      <c r="K167" s="20">
        <f t="shared" si="37"/>
        <v>0.0014215904042647713</v>
      </c>
    </row>
    <row r="168" spans="2:11" ht="12.75">
      <c r="B168" s="5">
        <f t="shared" si="0"/>
        <v>162</v>
      </c>
      <c r="C168" s="4">
        <v>9030</v>
      </c>
      <c r="D168" s="4" t="s">
        <v>189</v>
      </c>
      <c r="F168" s="21">
        <v>1000</v>
      </c>
      <c r="G168" s="21">
        <v>1000</v>
      </c>
      <c r="H168" s="22">
        <f t="shared" si="35"/>
        <v>0</v>
      </c>
      <c r="I168" s="20">
        <f t="shared" si="36"/>
        <v>0</v>
      </c>
      <c r="J168" s="20"/>
      <c r="K168" s="20">
        <f t="shared" si="37"/>
        <v>0.0014215904042647713</v>
      </c>
    </row>
    <row r="169" spans="2:11" ht="12.75">
      <c r="B169" s="5">
        <f t="shared" si="0"/>
        <v>163</v>
      </c>
      <c r="C169" s="4">
        <v>9040</v>
      </c>
      <c r="D169" s="4" t="s">
        <v>190</v>
      </c>
      <c r="F169" s="21">
        <v>1000</v>
      </c>
      <c r="G169" s="21">
        <v>1000</v>
      </c>
      <c r="H169" s="22">
        <f t="shared" si="35"/>
        <v>0</v>
      </c>
      <c r="I169" s="20">
        <f t="shared" si="36"/>
        <v>0</v>
      </c>
      <c r="J169" s="20"/>
      <c r="K169" s="20">
        <f t="shared" si="37"/>
        <v>0.0014215904042647713</v>
      </c>
    </row>
    <row r="170" spans="2:11" ht="12.75">
      <c r="B170" s="5">
        <f t="shared" si="0"/>
        <v>164</v>
      </c>
      <c r="C170" s="4">
        <v>9050</v>
      </c>
      <c r="D170" s="4" t="s">
        <v>191</v>
      </c>
      <c r="F170" s="21">
        <v>1000</v>
      </c>
      <c r="G170" s="21">
        <v>1000</v>
      </c>
      <c r="H170" s="22">
        <f t="shared" si="35"/>
        <v>0</v>
      </c>
      <c r="I170" s="20">
        <f t="shared" si="36"/>
        <v>0</v>
      </c>
      <c r="J170" s="20"/>
      <c r="K170" s="20">
        <f t="shared" si="37"/>
        <v>0.0014215904042647713</v>
      </c>
    </row>
    <row r="171" spans="2:11" ht="12.75">
      <c r="B171" s="5">
        <f t="shared" si="0"/>
        <v>165</v>
      </c>
      <c r="D171" s="11" t="s">
        <v>192</v>
      </c>
      <c r="F171" s="29">
        <f>SUM(F166:F170)</f>
        <v>5000</v>
      </c>
      <c r="G171" s="29">
        <f>SUM(G166:G170)</f>
        <v>5000</v>
      </c>
      <c r="H171" s="53">
        <f t="shared" si="35"/>
        <v>0</v>
      </c>
      <c r="I171" s="46">
        <f t="shared" si="36"/>
        <v>0</v>
      </c>
      <c r="J171" s="46"/>
      <c r="K171" s="20">
        <f t="shared" si="37"/>
        <v>0.007107952021323856</v>
      </c>
    </row>
    <row r="172" spans="2:11" ht="12.75">
      <c r="B172" s="5">
        <f t="shared" si="0"/>
        <v>166</v>
      </c>
      <c r="D172" s="11"/>
      <c r="F172" s="29"/>
      <c r="G172" s="29"/>
      <c r="H172" s="54"/>
      <c r="I172" s="46"/>
      <c r="J172" s="46"/>
      <c r="K172" s="46"/>
    </row>
    <row r="173" spans="2:11" ht="12.75">
      <c r="B173" s="5">
        <f t="shared" si="0"/>
        <v>167</v>
      </c>
      <c r="D173" s="10" t="s">
        <v>193</v>
      </c>
      <c r="F173" s="42">
        <f>F159+F171</f>
        <v>703437.5</v>
      </c>
      <c r="G173" s="55">
        <f>G159+G171</f>
        <v>666684.9</v>
      </c>
      <c r="H173" s="56">
        <f>F173-G173</f>
        <v>36752.59999999998</v>
      </c>
      <c r="I173" s="45">
        <f>H173/G173</f>
        <v>0.055127392265821494</v>
      </c>
      <c r="J173" s="46"/>
      <c r="K173" s="20">
        <f>F173/F$173</f>
        <v>1</v>
      </c>
    </row>
  </sheetData>
  <sheetProtection selectLockedCells="1" selectUnlockedCells="1"/>
  <printOptions/>
  <pageMargins left="0.3701388888888889" right="0.25" top="0.4" bottom="0.41944444444444445" header="0.5118055555555555" footer="0.25972222222222224"/>
  <pageSetup horizontalDpi="300" verticalDpi="300" orientation="portrait" scale="80"/>
  <headerFooter alignWithMargins="0">
    <oddFooter>&amp;CPage &amp;P of &amp;N</oddFooter>
  </headerFooter>
  <rowBreaks count="1" manualBreakCount="1">
    <brk id="163" max="255" man="1"/>
  </rowBreaks>
</worksheet>
</file>

<file path=xl/worksheets/sheet3.xml><?xml version="1.0" encoding="utf-8"?>
<worksheet xmlns="http://schemas.openxmlformats.org/spreadsheetml/2006/main" xmlns:r="http://schemas.openxmlformats.org/officeDocument/2006/relationships">
  <dimension ref="A1:AL36"/>
  <sheetViews>
    <sheetView zoomScale="85" zoomScaleNormal="85"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2.75"/>
  <cols>
    <col min="1" max="1" width="32.8515625" style="57" customWidth="1"/>
    <col min="2" max="2" width="10.421875" style="58" customWidth="1"/>
    <col min="3" max="3" width="11.7109375" style="59" customWidth="1"/>
    <col min="4" max="5" width="11.00390625" style="57" customWidth="1"/>
    <col min="6" max="7" width="10.7109375" style="57" customWidth="1"/>
    <col min="8" max="13" width="9.140625" style="57" customWidth="1"/>
    <col min="14" max="14" width="12.140625" style="57" customWidth="1"/>
    <col min="15" max="26" width="9.140625" style="60" customWidth="1"/>
    <col min="27" max="16384" width="9.140625" style="57" customWidth="1"/>
  </cols>
  <sheetData>
    <row r="1" ht="18" customHeight="1">
      <c r="A1" s="61">
        <f>'2. Proposed Budget'!B2</f>
        <v>0</v>
      </c>
    </row>
    <row r="2" ht="19.5" customHeight="1">
      <c r="A2" s="62">
        <f>+'2. Proposed Budget'!B3</f>
        <v>0</v>
      </c>
    </row>
    <row r="3" ht="18">
      <c r="A3" s="61" t="s">
        <v>194</v>
      </c>
    </row>
    <row r="4" ht="12.75" customHeight="1">
      <c r="A4" s="61"/>
    </row>
    <row r="5" spans="1:27" s="67" customFormat="1" ht="18">
      <c r="A5" s="63"/>
      <c r="B5" s="64" t="s">
        <v>195</v>
      </c>
      <c r="C5" s="65" t="s">
        <v>196</v>
      </c>
      <c r="D5" s="66" t="s">
        <v>197</v>
      </c>
      <c r="E5" s="67" t="s">
        <v>198</v>
      </c>
      <c r="F5" s="67" t="s">
        <v>199</v>
      </c>
      <c r="I5" s="67" t="s">
        <v>200</v>
      </c>
      <c r="J5" s="67" t="s">
        <v>201</v>
      </c>
      <c r="K5" s="67" t="s">
        <v>202</v>
      </c>
      <c r="L5" s="67" t="s">
        <v>203</v>
      </c>
      <c r="M5" s="66" t="s">
        <v>204</v>
      </c>
      <c r="N5" s="66" t="s">
        <v>204</v>
      </c>
      <c r="O5" s="68" t="s">
        <v>205</v>
      </c>
      <c r="P5" s="69"/>
      <c r="Q5" s="69"/>
      <c r="R5" s="69"/>
      <c r="S5" s="69"/>
      <c r="T5" s="69"/>
      <c r="U5" s="69"/>
      <c r="V5" s="69"/>
      <c r="W5" s="69"/>
      <c r="X5" s="69"/>
      <c r="Y5" s="69"/>
      <c r="Z5" s="69"/>
      <c r="AA5" s="68" t="s">
        <v>206</v>
      </c>
    </row>
    <row r="6" spans="2:38" s="67" customFormat="1" ht="12.75">
      <c r="B6" s="64" t="s">
        <v>207</v>
      </c>
      <c r="C6" s="65" t="s">
        <v>208</v>
      </c>
      <c r="D6" s="66" t="s">
        <v>209</v>
      </c>
      <c r="E6" s="67" t="s">
        <v>210</v>
      </c>
      <c r="F6" s="67" t="s">
        <v>152</v>
      </c>
      <c r="G6" s="67" t="s">
        <v>211</v>
      </c>
      <c r="H6" s="67" t="s">
        <v>212</v>
      </c>
      <c r="I6" s="67" t="s">
        <v>213</v>
      </c>
      <c r="J6" s="67" t="s">
        <v>214</v>
      </c>
      <c r="K6" s="67" t="s">
        <v>215</v>
      </c>
      <c r="L6" s="67" t="s">
        <v>216</v>
      </c>
      <c r="M6" s="66" t="s">
        <v>217</v>
      </c>
      <c r="N6" s="66" t="s">
        <v>218</v>
      </c>
      <c r="O6" s="70" t="s">
        <v>219</v>
      </c>
      <c r="P6" s="69" t="s">
        <v>220</v>
      </c>
      <c r="Q6" s="69" t="s">
        <v>221</v>
      </c>
      <c r="R6" s="69" t="s">
        <v>222</v>
      </c>
      <c r="S6" s="69" t="s">
        <v>223</v>
      </c>
      <c r="T6" s="69" t="s">
        <v>224</v>
      </c>
      <c r="U6" s="69" t="s">
        <v>225</v>
      </c>
      <c r="V6" s="69" t="s">
        <v>226</v>
      </c>
      <c r="W6" s="69" t="s">
        <v>227</v>
      </c>
      <c r="X6" s="69" t="s">
        <v>228</v>
      </c>
      <c r="Y6" s="69" t="s">
        <v>229</v>
      </c>
      <c r="Z6" s="69" t="s">
        <v>204</v>
      </c>
      <c r="AA6" s="70" t="s">
        <v>219</v>
      </c>
      <c r="AB6" s="69" t="s">
        <v>220</v>
      </c>
      <c r="AC6" s="69" t="s">
        <v>221</v>
      </c>
      <c r="AD6" s="69" t="s">
        <v>222</v>
      </c>
      <c r="AE6" s="69" t="s">
        <v>223</v>
      </c>
      <c r="AF6" s="69" t="s">
        <v>224</v>
      </c>
      <c r="AG6" s="69" t="s">
        <v>225</v>
      </c>
      <c r="AH6" s="69" t="s">
        <v>226</v>
      </c>
      <c r="AI6" s="69" t="s">
        <v>227</v>
      </c>
      <c r="AJ6" s="69" t="s">
        <v>228</v>
      </c>
      <c r="AK6" s="69" t="s">
        <v>229</v>
      </c>
      <c r="AL6" s="69" t="s">
        <v>204</v>
      </c>
    </row>
    <row r="7" spans="2:14" ht="12.75">
      <c r="B7" s="64"/>
      <c r="D7" s="71"/>
      <c r="M7" s="71"/>
      <c r="N7" s="71"/>
    </row>
    <row r="8" spans="1:14" ht="12.75">
      <c r="A8" s="72" t="s">
        <v>230</v>
      </c>
      <c r="B8" s="64"/>
      <c r="D8" s="71"/>
      <c r="M8" s="71"/>
      <c r="N8" s="71"/>
    </row>
    <row r="9" spans="1:38" ht="12.75">
      <c r="A9" s="73" t="s">
        <v>231</v>
      </c>
      <c r="B9" s="74">
        <v>40</v>
      </c>
      <c r="C9" s="75">
        <f aca="true" t="shared" si="0" ref="C9:C10">D9/(B9*52)</f>
        <v>28.846153846153847</v>
      </c>
      <c r="D9" s="76">
        <v>60000</v>
      </c>
      <c r="E9" s="77">
        <f aca="true" t="shared" si="1" ref="E9:E10">D9*0.065</f>
        <v>3900</v>
      </c>
      <c r="F9" s="78">
        <v>11932</v>
      </c>
      <c r="G9" s="78">
        <v>5288</v>
      </c>
      <c r="H9" s="78">
        <v>0</v>
      </c>
      <c r="I9" s="78">
        <v>1500</v>
      </c>
      <c r="J9" s="78">
        <v>3000</v>
      </c>
      <c r="K9" s="78">
        <v>0</v>
      </c>
      <c r="L9" s="78">
        <v>1000</v>
      </c>
      <c r="M9" s="79">
        <f aca="true" t="shared" si="2" ref="M9:M10">SUM(E9:L9)</f>
        <v>26620</v>
      </c>
      <c r="N9" s="79">
        <f aca="true" t="shared" si="3" ref="N9:N10">+D9+M9</f>
        <v>86620</v>
      </c>
      <c r="O9" s="80">
        <v>0.45</v>
      </c>
      <c r="P9" s="80">
        <v>0.2</v>
      </c>
      <c r="Q9" s="80">
        <v>0.05</v>
      </c>
      <c r="R9" s="80">
        <v>0.05</v>
      </c>
      <c r="S9" s="80"/>
      <c r="T9" s="80">
        <v>0.05</v>
      </c>
      <c r="U9" s="80"/>
      <c r="V9" s="80"/>
      <c r="W9" s="80">
        <v>0.2</v>
      </c>
      <c r="X9" s="80"/>
      <c r="Y9" s="80"/>
      <c r="Z9" s="60">
        <f aca="true" t="shared" si="4" ref="Z9:Z10">SUM(O9:Y9)</f>
        <v>1.0000000000000002</v>
      </c>
      <c r="AA9" s="57">
        <f aca="true" t="shared" si="5" ref="AA9:AA10">ROUND($N9*O9,0)</f>
        <v>38979</v>
      </c>
      <c r="AB9" s="57">
        <f aca="true" t="shared" si="6" ref="AB9:AB10">ROUND($N9*P9,0)</f>
        <v>17324</v>
      </c>
      <c r="AC9" s="57">
        <f aca="true" t="shared" si="7" ref="AC9:AC10">ROUND($N9*Q9,0)</f>
        <v>4331</v>
      </c>
      <c r="AD9" s="57">
        <f aca="true" t="shared" si="8" ref="AD9:AD10">ROUND($N9*R9,0)</f>
        <v>4331</v>
      </c>
      <c r="AE9" s="57">
        <f aca="true" t="shared" si="9" ref="AE9:AE10">ROUND($N9*S9,0)</f>
        <v>0</v>
      </c>
      <c r="AF9" s="57">
        <f aca="true" t="shared" si="10" ref="AF9:AF10">ROUND($N9*T9,0)</f>
        <v>4331</v>
      </c>
      <c r="AG9" s="57">
        <f aca="true" t="shared" si="11" ref="AG9:AG10">ROUND($N9*U9,0)</f>
        <v>0</v>
      </c>
      <c r="AH9" s="57">
        <f aca="true" t="shared" si="12" ref="AH9:AH10">ROUND($N9*V9,0)</f>
        <v>0</v>
      </c>
      <c r="AI9" s="57">
        <f aca="true" t="shared" si="13" ref="AI9:AI10">ROUND($N9*W9,0)</f>
        <v>17324</v>
      </c>
      <c r="AJ9" s="57">
        <f aca="true" t="shared" si="14" ref="AJ9:AJ10">ROUND($N9*X9,0)</f>
        <v>0</v>
      </c>
      <c r="AK9" s="57">
        <f aca="true" t="shared" si="15" ref="AK9:AK10">ROUND($N9*Y9,0)</f>
        <v>0</v>
      </c>
      <c r="AL9" s="57">
        <f aca="true" t="shared" si="16" ref="AL9:AL10">SUM(AA9:AK9)</f>
        <v>86620</v>
      </c>
    </row>
    <row r="10" spans="1:38" ht="12.75">
      <c r="A10" s="73" t="s">
        <v>232</v>
      </c>
      <c r="B10" s="81">
        <v>40</v>
      </c>
      <c r="C10" s="82">
        <f t="shared" si="0"/>
        <v>19.23076923076923</v>
      </c>
      <c r="D10" s="83">
        <v>40000</v>
      </c>
      <c r="E10" s="84">
        <f t="shared" si="1"/>
        <v>2600</v>
      </c>
      <c r="F10" s="85">
        <v>11932</v>
      </c>
      <c r="G10" s="85">
        <v>5288</v>
      </c>
      <c r="H10" s="85">
        <v>0</v>
      </c>
      <c r="I10" s="85">
        <v>1500</v>
      </c>
      <c r="J10" s="85">
        <v>3000</v>
      </c>
      <c r="K10" s="85">
        <v>0</v>
      </c>
      <c r="L10" s="85">
        <v>1000</v>
      </c>
      <c r="M10" s="86">
        <f t="shared" si="2"/>
        <v>25320</v>
      </c>
      <c r="N10" s="86">
        <f t="shared" si="3"/>
        <v>65320</v>
      </c>
      <c r="O10" s="80">
        <v>0.2</v>
      </c>
      <c r="P10" s="80">
        <v>0.8</v>
      </c>
      <c r="Q10" s="80"/>
      <c r="R10" s="80"/>
      <c r="S10" s="80"/>
      <c r="T10" s="80"/>
      <c r="U10" s="80"/>
      <c r="V10" s="80"/>
      <c r="W10" s="80"/>
      <c r="X10" s="80"/>
      <c r="Y10" s="80"/>
      <c r="Z10" s="60">
        <f t="shared" si="4"/>
        <v>1</v>
      </c>
      <c r="AA10" s="57">
        <f t="shared" si="5"/>
        <v>13064</v>
      </c>
      <c r="AB10" s="57">
        <f t="shared" si="6"/>
        <v>52256</v>
      </c>
      <c r="AC10" s="57">
        <f t="shared" si="7"/>
        <v>0</v>
      </c>
      <c r="AD10" s="57">
        <f t="shared" si="8"/>
        <v>0</v>
      </c>
      <c r="AE10" s="57">
        <f t="shared" si="9"/>
        <v>0</v>
      </c>
      <c r="AF10" s="57">
        <f t="shared" si="10"/>
        <v>0</v>
      </c>
      <c r="AG10" s="57">
        <f t="shared" si="11"/>
        <v>0</v>
      </c>
      <c r="AH10" s="57">
        <f t="shared" si="12"/>
        <v>0</v>
      </c>
      <c r="AI10" s="57">
        <f t="shared" si="13"/>
        <v>0</v>
      </c>
      <c r="AJ10" s="57">
        <f t="shared" si="14"/>
        <v>0</v>
      </c>
      <c r="AK10" s="57">
        <f t="shared" si="15"/>
        <v>0</v>
      </c>
      <c r="AL10" s="57">
        <f t="shared" si="16"/>
        <v>65320</v>
      </c>
    </row>
    <row r="11" spans="1:14" ht="12.75">
      <c r="A11" s="87" t="s">
        <v>233</v>
      </c>
      <c r="B11" s="58">
        <f>SUM(B9:B10)/40</f>
        <v>2</v>
      </c>
      <c r="D11" s="71">
        <f>SUM(D9:D10)</f>
        <v>100000</v>
      </c>
      <c r="E11" s="71">
        <f>SUM(E9:E10)</f>
        <v>6500</v>
      </c>
      <c r="F11" s="71">
        <f>SUM(F9:F10)</f>
        <v>23864</v>
      </c>
      <c r="G11" s="71">
        <f>SUM(G9:G10)</f>
        <v>10576</v>
      </c>
      <c r="H11" s="71">
        <f>SUM(H9:H10)</f>
        <v>0</v>
      </c>
      <c r="I11" s="71">
        <f>SUM(I9:I10)</f>
        <v>3000</v>
      </c>
      <c r="J11" s="71">
        <f>SUM(J9:J10)</f>
        <v>6000</v>
      </c>
      <c r="K11" s="71">
        <f>SUM(K9:K10)</f>
        <v>0</v>
      </c>
      <c r="L11" s="71">
        <f>SUM(L9:L10)</f>
        <v>2000</v>
      </c>
      <c r="M11" s="71">
        <f>SUM(M9:M10)</f>
        <v>51940</v>
      </c>
      <c r="N11" s="71">
        <f>SUM(N9:N10)</f>
        <v>151940</v>
      </c>
    </row>
    <row r="12" spans="1:14" ht="12.75">
      <c r="A12" s="73"/>
      <c r="D12" s="71"/>
      <c r="E12" s="88"/>
      <c r="M12" s="71"/>
      <c r="N12" s="71"/>
    </row>
    <row r="13" spans="1:14" ht="12.75">
      <c r="A13" s="72" t="s">
        <v>234</v>
      </c>
      <c r="D13" s="71"/>
      <c r="E13" s="88"/>
      <c r="M13" s="71"/>
      <c r="N13" s="71"/>
    </row>
    <row r="14" spans="1:38" ht="12.75">
      <c r="A14" s="73" t="s">
        <v>61</v>
      </c>
      <c r="B14" s="89">
        <v>20</v>
      </c>
      <c r="C14" s="90">
        <v>15</v>
      </c>
      <c r="D14" s="71">
        <f aca="true" t="shared" si="17" ref="D14:D20">ROUND(B14*52*C14,0)</f>
        <v>15600</v>
      </c>
      <c r="E14" s="88">
        <f>ROUND(D14*0.065,0)</f>
        <v>1014</v>
      </c>
      <c r="F14" s="91">
        <v>0</v>
      </c>
      <c r="G14" s="91">
        <v>0</v>
      </c>
      <c r="H14" s="91">
        <v>0</v>
      </c>
      <c r="I14" s="91">
        <v>1800</v>
      </c>
      <c r="J14" s="91">
        <v>0</v>
      </c>
      <c r="K14" s="91">
        <f>2310*0.4</f>
        <v>924</v>
      </c>
      <c r="L14" s="91">
        <v>0</v>
      </c>
      <c r="M14" s="71">
        <f aca="true" t="shared" si="18" ref="M14:M21">SUM(E14:L14)</f>
        <v>3738</v>
      </c>
      <c r="N14" s="71">
        <f aca="true" t="shared" si="19" ref="N14:N21">+D14+M14</f>
        <v>19338</v>
      </c>
      <c r="O14" s="80"/>
      <c r="P14" s="80">
        <v>1</v>
      </c>
      <c r="Q14" s="80"/>
      <c r="R14" s="80"/>
      <c r="S14" s="80"/>
      <c r="T14" s="80"/>
      <c r="U14" s="80"/>
      <c r="V14" s="80"/>
      <c r="W14" s="80"/>
      <c r="X14" s="80"/>
      <c r="Y14" s="80"/>
      <c r="Z14" s="60">
        <f aca="true" t="shared" si="20" ref="Z14:Z21">SUM(O14:Y14)</f>
        <v>1</v>
      </c>
      <c r="AA14" s="57">
        <f aca="true" t="shared" si="21" ref="AA14:AA21">ROUND($N14*O14,0)</f>
        <v>0</v>
      </c>
      <c r="AB14" s="57">
        <f aca="true" t="shared" si="22" ref="AB14:AB21">ROUND($N14*P14,0)</f>
        <v>19338</v>
      </c>
      <c r="AC14" s="57">
        <f aca="true" t="shared" si="23" ref="AC14:AC21">ROUND($N14*Q14,0)</f>
        <v>0</v>
      </c>
      <c r="AD14" s="57">
        <f aca="true" t="shared" si="24" ref="AD14:AD21">ROUND($N14*R14,0)</f>
        <v>0</v>
      </c>
      <c r="AE14" s="57">
        <f aca="true" t="shared" si="25" ref="AE14:AE21">ROUND($N14*S14,0)</f>
        <v>0</v>
      </c>
      <c r="AF14" s="57">
        <f aca="true" t="shared" si="26" ref="AF14:AF21">ROUND($N14*T14,0)</f>
        <v>0</v>
      </c>
      <c r="AG14" s="57">
        <f aca="true" t="shared" si="27" ref="AG14:AG21">ROUND($N14*U14,0)</f>
        <v>0</v>
      </c>
      <c r="AH14" s="57">
        <f aca="true" t="shared" si="28" ref="AH14:AH21">ROUND($N14*V14,0)</f>
        <v>0</v>
      </c>
      <c r="AI14" s="57">
        <f aca="true" t="shared" si="29" ref="AI14:AI21">ROUND($N14*W14,0)</f>
        <v>0</v>
      </c>
      <c r="AJ14" s="57">
        <f aca="true" t="shared" si="30" ref="AJ14:AJ21">ROUND($N14*X14,0)</f>
        <v>0</v>
      </c>
      <c r="AK14" s="57">
        <f aca="true" t="shared" si="31" ref="AK14:AK21">ROUND($N14*Y14,0)</f>
        <v>0</v>
      </c>
      <c r="AL14" s="57">
        <f aca="true" t="shared" si="32" ref="AL14:AL21">SUM(AA14:AK14)</f>
        <v>19338</v>
      </c>
    </row>
    <row r="15" spans="1:38" ht="12.75">
      <c r="A15" s="92" t="s">
        <v>235</v>
      </c>
      <c r="B15" s="89">
        <v>20</v>
      </c>
      <c r="C15" s="90">
        <v>15</v>
      </c>
      <c r="D15" s="71">
        <f t="shared" si="17"/>
        <v>15600</v>
      </c>
      <c r="E15" s="88">
        <f aca="true" t="shared" si="33" ref="E15:E21">ROUND(D15*0.0765,0)</f>
        <v>1193</v>
      </c>
      <c r="F15" s="91">
        <v>0</v>
      </c>
      <c r="G15" s="91">
        <v>0</v>
      </c>
      <c r="H15" s="91">
        <v>0</v>
      </c>
      <c r="I15" s="91">
        <v>0</v>
      </c>
      <c r="J15" s="91">
        <v>500</v>
      </c>
      <c r="K15" s="91">
        <v>0</v>
      </c>
      <c r="L15" s="91">
        <v>0</v>
      </c>
      <c r="M15" s="71">
        <f t="shared" si="18"/>
        <v>1693</v>
      </c>
      <c r="N15" s="71">
        <f t="shared" si="19"/>
        <v>17293</v>
      </c>
      <c r="O15" s="80"/>
      <c r="P15" s="80"/>
      <c r="Q15" s="80"/>
      <c r="R15" s="80"/>
      <c r="S15" s="80"/>
      <c r="T15" s="80">
        <v>1</v>
      </c>
      <c r="U15" s="80"/>
      <c r="V15" s="80"/>
      <c r="W15" s="80"/>
      <c r="X15" s="80"/>
      <c r="Y15" s="80"/>
      <c r="Z15" s="60">
        <f t="shared" si="20"/>
        <v>1</v>
      </c>
      <c r="AA15" s="57">
        <f t="shared" si="21"/>
        <v>0</v>
      </c>
      <c r="AB15" s="57">
        <f t="shared" si="22"/>
        <v>0</v>
      </c>
      <c r="AC15" s="57">
        <f t="shared" si="23"/>
        <v>0</v>
      </c>
      <c r="AD15" s="57">
        <f t="shared" si="24"/>
        <v>0</v>
      </c>
      <c r="AE15" s="57">
        <f t="shared" si="25"/>
        <v>0</v>
      </c>
      <c r="AF15" s="57">
        <f t="shared" si="26"/>
        <v>17293</v>
      </c>
      <c r="AG15" s="57">
        <f t="shared" si="27"/>
        <v>0</v>
      </c>
      <c r="AH15" s="57">
        <f t="shared" si="28"/>
        <v>0</v>
      </c>
      <c r="AI15" s="57">
        <f t="shared" si="29"/>
        <v>0</v>
      </c>
      <c r="AJ15" s="57">
        <f t="shared" si="30"/>
        <v>0</v>
      </c>
      <c r="AK15" s="57">
        <f t="shared" si="31"/>
        <v>0</v>
      </c>
      <c r="AL15" s="57">
        <f t="shared" si="32"/>
        <v>17293</v>
      </c>
    </row>
    <row r="16" spans="1:38" ht="12.75">
      <c r="A16" s="87" t="s">
        <v>236</v>
      </c>
      <c r="B16" s="89">
        <v>40</v>
      </c>
      <c r="C16" s="90">
        <v>15</v>
      </c>
      <c r="D16" s="71">
        <f t="shared" si="17"/>
        <v>31200</v>
      </c>
      <c r="E16" s="88">
        <f t="shared" si="33"/>
        <v>2387</v>
      </c>
      <c r="F16" s="91">
        <v>6079</v>
      </c>
      <c r="G16" s="91">
        <v>0</v>
      </c>
      <c r="H16" s="91">
        <v>1000</v>
      </c>
      <c r="I16" s="91">
        <v>0</v>
      </c>
      <c r="J16" s="91">
        <v>500</v>
      </c>
      <c r="K16" s="91">
        <v>0</v>
      </c>
      <c r="L16" s="91">
        <v>0</v>
      </c>
      <c r="M16" s="71">
        <f t="shared" si="18"/>
        <v>9966</v>
      </c>
      <c r="N16" s="71">
        <f t="shared" si="19"/>
        <v>41166</v>
      </c>
      <c r="O16" s="80"/>
      <c r="P16" s="80"/>
      <c r="Q16" s="80">
        <v>1</v>
      </c>
      <c r="R16" s="80"/>
      <c r="S16" s="80"/>
      <c r="T16" s="80"/>
      <c r="U16" s="80"/>
      <c r="V16" s="80"/>
      <c r="W16" s="80"/>
      <c r="X16" s="80"/>
      <c r="Y16" s="80"/>
      <c r="Z16" s="60">
        <f t="shared" si="20"/>
        <v>1</v>
      </c>
      <c r="AA16" s="57">
        <f t="shared" si="21"/>
        <v>0</v>
      </c>
      <c r="AB16" s="57">
        <f t="shared" si="22"/>
        <v>0</v>
      </c>
      <c r="AC16" s="57">
        <f t="shared" si="23"/>
        <v>41166</v>
      </c>
      <c r="AD16" s="57">
        <f t="shared" si="24"/>
        <v>0</v>
      </c>
      <c r="AE16" s="57">
        <f t="shared" si="25"/>
        <v>0</v>
      </c>
      <c r="AF16" s="57">
        <f t="shared" si="26"/>
        <v>0</v>
      </c>
      <c r="AG16" s="57">
        <f t="shared" si="27"/>
        <v>0</v>
      </c>
      <c r="AH16" s="57">
        <f t="shared" si="28"/>
        <v>0</v>
      </c>
      <c r="AI16" s="57">
        <f t="shared" si="29"/>
        <v>0</v>
      </c>
      <c r="AJ16" s="57">
        <f t="shared" si="30"/>
        <v>0</v>
      </c>
      <c r="AK16" s="57">
        <f t="shared" si="31"/>
        <v>0</v>
      </c>
      <c r="AL16" s="57">
        <f t="shared" si="32"/>
        <v>41166</v>
      </c>
    </row>
    <row r="17" spans="1:38" ht="12.75">
      <c r="A17" s="73" t="s">
        <v>237</v>
      </c>
      <c r="B17" s="89">
        <v>15</v>
      </c>
      <c r="C17" s="90">
        <v>15</v>
      </c>
      <c r="D17" s="71">
        <f t="shared" si="17"/>
        <v>11700</v>
      </c>
      <c r="E17" s="88">
        <f t="shared" si="33"/>
        <v>895</v>
      </c>
      <c r="F17" s="91">
        <v>0</v>
      </c>
      <c r="G17" s="91">
        <v>0</v>
      </c>
      <c r="H17" s="91">
        <v>0</v>
      </c>
      <c r="I17" s="91">
        <v>0</v>
      </c>
      <c r="J17" s="91">
        <v>0</v>
      </c>
      <c r="K17" s="91">
        <v>0</v>
      </c>
      <c r="L17" s="91">
        <v>0</v>
      </c>
      <c r="M17" s="71">
        <f t="shared" si="18"/>
        <v>895</v>
      </c>
      <c r="N17" s="71">
        <f t="shared" si="19"/>
        <v>12595</v>
      </c>
      <c r="O17" s="80"/>
      <c r="P17" s="80">
        <v>0.4</v>
      </c>
      <c r="Q17" s="80">
        <v>0.6</v>
      </c>
      <c r="R17" s="80"/>
      <c r="S17" s="80"/>
      <c r="T17" s="80"/>
      <c r="U17" s="80"/>
      <c r="V17" s="80"/>
      <c r="W17" s="80"/>
      <c r="X17" s="80"/>
      <c r="Y17" s="80"/>
      <c r="Z17" s="60">
        <f t="shared" si="20"/>
        <v>1</v>
      </c>
      <c r="AA17" s="57">
        <f t="shared" si="21"/>
        <v>0</v>
      </c>
      <c r="AB17" s="57">
        <f t="shared" si="22"/>
        <v>5038</v>
      </c>
      <c r="AC17" s="57">
        <f t="shared" si="23"/>
        <v>7557</v>
      </c>
      <c r="AD17" s="57">
        <f t="shared" si="24"/>
        <v>0</v>
      </c>
      <c r="AE17" s="57">
        <f t="shared" si="25"/>
        <v>0</v>
      </c>
      <c r="AF17" s="57">
        <f t="shared" si="26"/>
        <v>0</v>
      </c>
      <c r="AG17" s="57">
        <f t="shared" si="27"/>
        <v>0</v>
      </c>
      <c r="AH17" s="57">
        <f t="shared" si="28"/>
        <v>0</v>
      </c>
      <c r="AI17" s="57">
        <f t="shared" si="29"/>
        <v>0</v>
      </c>
      <c r="AJ17" s="57">
        <f t="shared" si="30"/>
        <v>0</v>
      </c>
      <c r="AK17" s="57">
        <f t="shared" si="31"/>
        <v>0</v>
      </c>
      <c r="AL17" s="57">
        <f t="shared" si="32"/>
        <v>12595</v>
      </c>
    </row>
    <row r="18" spans="1:38" ht="12.75">
      <c r="A18" s="87" t="s">
        <v>238</v>
      </c>
      <c r="B18" s="89">
        <v>40</v>
      </c>
      <c r="C18" s="90">
        <v>15</v>
      </c>
      <c r="D18" s="71">
        <f t="shared" si="17"/>
        <v>31200</v>
      </c>
      <c r="E18" s="88">
        <f t="shared" si="33"/>
        <v>2387</v>
      </c>
      <c r="F18" s="91">
        <v>3190</v>
      </c>
      <c r="G18" s="91">
        <v>0</v>
      </c>
      <c r="H18" s="91">
        <v>1000</v>
      </c>
      <c r="I18" s="91">
        <v>0</v>
      </c>
      <c r="J18" s="91">
        <v>500</v>
      </c>
      <c r="K18" s="91">
        <v>0</v>
      </c>
      <c r="L18" s="91">
        <v>0</v>
      </c>
      <c r="M18" s="71">
        <f t="shared" si="18"/>
        <v>7077</v>
      </c>
      <c r="N18" s="71">
        <f t="shared" si="19"/>
        <v>38277</v>
      </c>
      <c r="O18" s="80"/>
      <c r="P18" s="80"/>
      <c r="Q18" s="80"/>
      <c r="R18" s="80">
        <v>1</v>
      </c>
      <c r="S18" s="80"/>
      <c r="T18" s="80"/>
      <c r="U18" s="80"/>
      <c r="V18" s="80"/>
      <c r="W18" s="80"/>
      <c r="X18" s="80"/>
      <c r="Y18" s="80"/>
      <c r="Z18" s="60">
        <f t="shared" si="20"/>
        <v>1</v>
      </c>
      <c r="AA18" s="57">
        <f t="shared" si="21"/>
        <v>0</v>
      </c>
      <c r="AB18" s="57">
        <f t="shared" si="22"/>
        <v>0</v>
      </c>
      <c r="AC18" s="57">
        <f t="shared" si="23"/>
        <v>0</v>
      </c>
      <c r="AD18" s="57">
        <f t="shared" si="24"/>
        <v>38277</v>
      </c>
      <c r="AE18" s="57">
        <f t="shared" si="25"/>
        <v>0</v>
      </c>
      <c r="AF18" s="57">
        <f t="shared" si="26"/>
        <v>0</v>
      </c>
      <c r="AG18" s="57">
        <f t="shared" si="27"/>
        <v>0</v>
      </c>
      <c r="AH18" s="57">
        <f t="shared" si="28"/>
        <v>0</v>
      </c>
      <c r="AI18" s="57">
        <f t="shared" si="29"/>
        <v>0</v>
      </c>
      <c r="AJ18" s="57">
        <f t="shared" si="30"/>
        <v>0</v>
      </c>
      <c r="AK18" s="57">
        <f t="shared" si="31"/>
        <v>0</v>
      </c>
      <c r="AL18" s="57">
        <f t="shared" si="32"/>
        <v>38277</v>
      </c>
    </row>
    <row r="19" spans="1:38" ht="12.75">
      <c r="A19" s="87" t="s">
        <v>239</v>
      </c>
      <c r="B19" s="74">
        <v>20</v>
      </c>
      <c r="C19" s="93">
        <v>15</v>
      </c>
      <c r="D19" s="79">
        <f t="shared" si="17"/>
        <v>15600</v>
      </c>
      <c r="E19" s="77">
        <f t="shared" si="33"/>
        <v>1193</v>
      </c>
      <c r="F19" s="78">
        <v>0</v>
      </c>
      <c r="G19" s="78">
        <v>0</v>
      </c>
      <c r="H19" s="78">
        <v>0</v>
      </c>
      <c r="I19" s="78">
        <v>0</v>
      </c>
      <c r="J19" s="78">
        <v>500</v>
      </c>
      <c r="K19" s="78">
        <v>0</v>
      </c>
      <c r="L19" s="78">
        <v>0</v>
      </c>
      <c r="M19" s="79">
        <f t="shared" si="18"/>
        <v>1693</v>
      </c>
      <c r="N19" s="79">
        <f t="shared" si="19"/>
        <v>17293</v>
      </c>
      <c r="O19" s="80">
        <v>1</v>
      </c>
      <c r="P19" s="80"/>
      <c r="Q19" s="80"/>
      <c r="R19" s="80"/>
      <c r="S19" s="80"/>
      <c r="T19" s="80"/>
      <c r="U19" s="80"/>
      <c r="V19" s="80"/>
      <c r="W19" s="80"/>
      <c r="X19" s="80"/>
      <c r="Y19" s="80"/>
      <c r="Z19" s="60">
        <f t="shared" si="20"/>
        <v>1</v>
      </c>
      <c r="AA19" s="57">
        <f t="shared" si="21"/>
        <v>17293</v>
      </c>
      <c r="AB19" s="57">
        <f t="shared" si="22"/>
        <v>0</v>
      </c>
      <c r="AC19" s="57">
        <f t="shared" si="23"/>
        <v>0</v>
      </c>
      <c r="AD19" s="57">
        <f t="shared" si="24"/>
        <v>0</v>
      </c>
      <c r="AE19" s="57">
        <f t="shared" si="25"/>
        <v>0</v>
      </c>
      <c r="AF19" s="57">
        <f t="shared" si="26"/>
        <v>0</v>
      </c>
      <c r="AG19" s="57">
        <f t="shared" si="27"/>
        <v>0</v>
      </c>
      <c r="AH19" s="57">
        <f t="shared" si="28"/>
        <v>0</v>
      </c>
      <c r="AI19" s="57">
        <f t="shared" si="29"/>
        <v>0</v>
      </c>
      <c r="AJ19" s="57">
        <f t="shared" si="30"/>
        <v>0</v>
      </c>
      <c r="AK19" s="57">
        <f t="shared" si="31"/>
        <v>0</v>
      </c>
      <c r="AL19" s="57">
        <f t="shared" si="32"/>
        <v>17293</v>
      </c>
    </row>
    <row r="20" spans="1:38" ht="12.75">
      <c r="A20" s="87" t="s">
        <v>240</v>
      </c>
      <c r="B20" s="74">
        <v>20</v>
      </c>
      <c r="C20" s="93">
        <v>15</v>
      </c>
      <c r="D20" s="79">
        <f t="shared" si="17"/>
        <v>15600</v>
      </c>
      <c r="E20" s="77">
        <f t="shared" si="33"/>
        <v>1193</v>
      </c>
      <c r="F20" s="78">
        <v>3040</v>
      </c>
      <c r="G20" s="78">
        <v>0</v>
      </c>
      <c r="H20" s="78">
        <v>0</v>
      </c>
      <c r="I20" s="78">
        <v>0</v>
      </c>
      <c r="J20" s="78">
        <v>500</v>
      </c>
      <c r="K20" s="78">
        <v>0</v>
      </c>
      <c r="L20" s="78">
        <v>0</v>
      </c>
      <c r="M20" s="79">
        <f t="shared" si="18"/>
        <v>4733</v>
      </c>
      <c r="N20" s="79">
        <f t="shared" si="19"/>
        <v>20333</v>
      </c>
      <c r="O20" s="80"/>
      <c r="P20" s="80">
        <v>0.6</v>
      </c>
      <c r="Q20" s="80"/>
      <c r="R20" s="80"/>
      <c r="S20" s="80">
        <v>0.4</v>
      </c>
      <c r="T20" s="80"/>
      <c r="U20" s="80"/>
      <c r="V20" s="80"/>
      <c r="W20" s="80"/>
      <c r="X20" s="80"/>
      <c r="Y20" s="80"/>
      <c r="Z20" s="60">
        <f t="shared" si="20"/>
        <v>1</v>
      </c>
      <c r="AA20" s="57">
        <f t="shared" si="21"/>
        <v>0</v>
      </c>
      <c r="AB20" s="57">
        <f t="shared" si="22"/>
        <v>12200</v>
      </c>
      <c r="AC20" s="57">
        <f t="shared" si="23"/>
        <v>0</v>
      </c>
      <c r="AD20" s="57">
        <f t="shared" si="24"/>
        <v>0</v>
      </c>
      <c r="AE20" s="57">
        <f t="shared" si="25"/>
        <v>8133</v>
      </c>
      <c r="AF20" s="57">
        <f t="shared" si="26"/>
        <v>0</v>
      </c>
      <c r="AG20" s="57">
        <f t="shared" si="27"/>
        <v>0</v>
      </c>
      <c r="AH20" s="57">
        <f t="shared" si="28"/>
        <v>0</v>
      </c>
      <c r="AI20" s="57">
        <f t="shared" si="29"/>
        <v>0</v>
      </c>
      <c r="AJ20" s="57">
        <f t="shared" si="30"/>
        <v>0</v>
      </c>
      <c r="AK20" s="57">
        <f t="shared" si="31"/>
        <v>0</v>
      </c>
      <c r="AL20" s="57">
        <f t="shared" si="32"/>
        <v>20333</v>
      </c>
    </row>
    <row r="21" spans="1:38" ht="12.75">
      <c r="A21" s="87" t="s">
        <v>241</v>
      </c>
      <c r="B21" s="81"/>
      <c r="C21" s="94"/>
      <c r="D21" s="83">
        <v>1500</v>
      </c>
      <c r="E21" s="84">
        <f t="shared" si="33"/>
        <v>115</v>
      </c>
      <c r="F21" s="85">
        <v>0</v>
      </c>
      <c r="G21" s="85">
        <v>0</v>
      </c>
      <c r="H21" s="85">
        <v>0</v>
      </c>
      <c r="I21" s="85">
        <v>0</v>
      </c>
      <c r="J21" s="85">
        <v>0</v>
      </c>
      <c r="K21" s="85">
        <v>0</v>
      </c>
      <c r="L21" s="85">
        <v>0</v>
      </c>
      <c r="M21" s="86">
        <f t="shared" si="18"/>
        <v>115</v>
      </c>
      <c r="N21" s="86">
        <f t="shared" si="19"/>
        <v>1615</v>
      </c>
      <c r="O21" s="80">
        <v>0.1</v>
      </c>
      <c r="P21" s="80">
        <v>0.2</v>
      </c>
      <c r="Q21" s="80">
        <v>0.3</v>
      </c>
      <c r="R21" s="80">
        <v>0.3</v>
      </c>
      <c r="S21" s="80"/>
      <c r="T21" s="80">
        <v>0.1</v>
      </c>
      <c r="U21" s="80"/>
      <c r="V21" s="80"/>
      <c r="W21" s="80"/>
      <c r="X21" s="80"/>
      <c r="Y21" s="80"/>
      <c r="Z21" s="60">
        <f t="shared" si="20"/>
        <v>1.0000000000000002</v>
      </c>
      <c r="AA21" s="57">
        <f t="shared" si="21"/>
        <v>162</v>
      </c>
      <c r="AB21" s="57">
        <f t="shared" si="22"/>
        <v>323</v>
      </c>
      <c r="AC21" s="57">
        <f t="shared" si="23"/>
        <v>485</v>
      </c>
      <c r="AD21" s="57">
        <f t="shared" si="24"/>
        <v>485</v>
      </c>
      <c r="AE21" s="57">
        <f t="shared" si="25"/>
        <v>0</v>
      </c>
      <c r="AF21" s="57">
        <f t="shared" si="26"/>
        <v>162</v>
      </c>
      <c r="AG21" s="57">
        <f t="shared" si="27"/>
        <v>0</v>
      </c>
      <c r="AH21" s="57">
        <f t="shared" si="28"/>
        <v>0</v>
      </c>
      <c r="AI21" s="57">
        <f t="shared" si="29"/>
        <v>0</v>
      </c>
      <c r="AJ21" s="57">
        <f t="shared" si="30"/>
        <v>0</v>
      </c>
      <c r="AK21" s="57">
        <f t="shared" si="31"/>
        <v>0</v>
      </c>
      <c r="AL21" s="57">
        <f t="shared" si="32"/>
        <v>1617</v>
      </c>
    </row>
    <row r="22" spans="1:14" ht="12.75">
      <c r="A22" s="87" t="s">
        <v>233</v>
      </c>
      <c r="B22" s="58">
        <f>SUM(B14:B21)/40</f>
        <v>4.375</v>
      </c>
      <c r="D22" s="71">
        <f>SUM(D14:D21)</f>
        <v>138000</v>
      </c>
      <c r="E22" s="88">
        <f>SUM(E14:E21)</f>
        <v>10377</v>
      </c>
      <c r="F22" s="57">
        <f>SUM(F14:F21)</f>
        <v>12309</v>
      </c>
      <c r="G22" s="57">
        <f>SUM(G14:G21)</f>
        <v>0</v>
      </c>
      <c r="H22" s="57">
        <f>SUM(H14:H21)</f>
        <v>2000</v>
      </c>
      <c r="I22" s="57">
        <f>SUM(I14:I21)</f>
        <v>1800</v>
      </c>
      <c r="J22" s="57">
        <f>SUM(J14:J21)</f>
        <v>2500</v>
      </c>
      <c r="K22" s="57">
        <f>SUM(K14:K21)</f>
        <v>924</v>
      </c>
      <c r="L22" s="57">
        <f>SUM(L14:L21)</f>
        <v>0</v>
      </c>
      <c r="M22" s="71">
        <f>SUM(M14:M21)</f>
        <v>29910</v>
      </c>
      <c r="N22" s="71">
        <f>SUM(N14:N21)</f>
        <v>167910</v>
      </c>
    </row>
    <row r="23" spans="1:14" ht="12.75">
      <c r="A23" s="87"/>
      <c r="D23" s="71"/>
      <c r="E23" s="88"/>
      <c r="M23" s="71"/>
      <c r="N23" s="71"/>
    </row>
    <row r="24" spans="1:14" ht="12.75">
      <c r="A24" s="95" t="s">
        <v>33</v>
      </c>
      <c r="D24" s="71"/>
      <c r="E24" s="88"/>
      <c r="M24" s="71"/>
      <c r="N24" s="71"/>
    </row>
    <row r="25" spans="1:38" ht="12.75">
      <c r="A25" s="73" t="s">
        <v>242</v>
      </c>
      <c r="B25" s="89">
        <v>20</v>
      </c>
      <c r="C25" s="90">
        <v>15</v>
      </c>
      <c r="D25" s="71">
        <f aca="true" t="shared" si="34" ref="D25:D31">ROUND(B25*52*C25,0)</f>
        <v>15600</v>
      </c>
      <c r="E25" s="88">
        <f aca="true" t="shared" si="35" ref="E25:E33">ROUND(D25*0.0765,0)</f>
        <v>1193</v>
      </c>
      <c r="F25" s="91">
        <v>0</v>
      </c>
      <c r="G25" s="91">
        <v>0</v>
      </c>
      <c r="H25" s="91">
        <v>0</v>
      </c>
      <c r="I25" s="91">
        <v>0</v>
      </c>
      <c r="J25" s="91">
        <v>500</v>
      </c>
      <c r="K25" s="91">
        <f>2310*0.12</f>
        <v>277.2</v>
      </c>
      <c r="L25" s="91">
        <v>0</v>
      </c>
      <c r="M25" s="71">
        <f aca="true" t="shared" si="36" ref="M25:M33">SUM(E25:L25)</f>
        <v>1970.2</v>
      </c>
      <c r="N25" s="71">
        <f aca="true" t="shared" si="37" ref="N25:N33">+D25+M25</f>
        <v>17570.2</v>
      </c>
      <c r="O25" s="80"/>
      <c r="P25" s="80"/>
      <c r="Q25" s="80"/>
      <c r="R25" s="80"/>
      <c r="S25" s="80"/>
      <c r="T25" s="80"/>
      <c r="U25" s="80"/>
      <c r="V25" s="80">
        <v>0.2</v>
      </c>
      <c r="W25" s="80">
        <v>0.8</v>
      </c>
      <c r="X25" s="80"/>
      <c r="Y25" s="80"/>
      <c r="Z25" s="60">
        <f aca="true" t="shared" si="38" ref="Z25:Z28">SUM(O25:Y25)</f>
        <v>1</v>
      </c>
      <c r="AA25" s="57">
        <f aca="true" t="shared" si="39" ref="AA25:AA33">ROUND($N25*O25,0)</f>
        <v>0</v>
      </c>
      <c r="AB25" s="57">
        <f aca="true" t="shared" si="40" ref="AB25:AB33">ROUND($N25*P25,0)</f>
        <v>0</v>
      </c>
      <c r="AC25" s="57">
        <f aca="true" t="shared" si="41" ref="AC25:AC33">ROUND($N25*Q25,0)</f>
        <v>0</v>
      </c>
      <c r="AD25" s="57">
        <f aca="true" t="shared" si="42" ref="AD25:AD33">ROUND($N25*R25,0)</f>
        <v>0</v>
      </c>
      <c r="AE25" s="57">
        <f aca="true" t="shared" si="43" ref="AE25:AE33">ROUND($N25*S25,0)</f>
        <v>0</v>
      </c>
      <c r="AF25" s="57">
        <f aca="true" t="shared" si="44" ref="AF25:AF33">ROUND($N25*T25,0)</f>
        <v>0</v>
      </c>
      <c r="AG25" s="57">
        <f aca="true" t="shared" si="45" ref="AG25:AG33">ROUND($N25*U25,0)</f>
        <v>0</v>
      </c>
      <c r="AH25" s="57">
        <f aca="true" t="shared" si="46" ref="AH25:AH33">ROUND($N25*V25,0)</f>
        <v>3514</v>
      </c>
      <c r="AI25" s="57">
        <f aca="true" t="shared" si="47" ref="AI25:AI33">ROUND($N25*W25,0)</f>
        <v>14056</v>
      </c>
      <c r="AJ25" s="57">
        <f aca="true" t="shared" si="48" ref="AJ25:AJ33">ROUND($N25*X25,0)</f>
        <v>0</v>
      </c>
      <c r="AK25" s="57">
        <f aca="true" t="shared" si="49" ref="AK25:AK33">ROUND($N25*Y25,0)</f>
        <v>0</v>
      </c>
      <c r="AL25" s="57">
        <f aca="true" t="shared" si="50" ref="AL25:AL33">SUM(AA25:AK25)</f>
        <v>17570</v>
      </c>
    </row>
    <row r="26" spans="1:38" ht="12.75">
      <c r="A26" s="87" t="s">
        <v>243</v>
      </c>
      <c r="B26" s="89">
        <v>6</v>
      </c>
      <c r="C26" s="90">
        <v>15</v>
      </c>
      <c r="D26" s="71">
        <f t="shared" si="34"/>
        <v>4680</v>
      </c>
      <c r="E26" s="88">
        <f t="shared" si="35"/>
        <v>358</v>
      </c>
      <c r="F26" s="91">
        <v>0</v>
      </c>
      <c r="G26" s="91">
        <v>0</v>
      </c>
      <c r="H26" s="91">
        <v>0</v>
      </c>
      <c r="I26" s="91">
        <v>0</v>
      </c>
      <c r="J26" s="91">
        <v>0</v>
      </c>
      <c r="K26" s="91">
        <v>0</v>
      </c>
      <c r="L26" s="91">
        <v>0</v>
      </c>
      <c r="M26" s="71">
        <f t="shared" si="36"/>
        <v>358</v>
      </c>
      <c r="N26" s="71">
        <f t="shared" si="37"/>
        <v>5038</v>
      </c>
      <c r="O26" s="80"/>
      <c r="P26" s="80"/>
      <c r="Q26" s="80"/>
      <c r="R26" s="80"/>
      <c r="S26" s="80"/>
      <c r="T26" s="80"/>
      <c r="U26" s="80"/>
      <c r="V26" s="80"/>
      <c r="W26" s="80">
        <v>1</v>
      </c>
      <c r="X26" s="80"/>
      <c r="Y26" s="80"/>
      <c r="Z26" s="60">
        <f t="shared" si="38"/>
        <v>1</v>
      </c>
      <c r="AA26" s="57">
        <f t="shared" si="39"/>
        <v>0</v>
      </c>
      <c r="AB26" s="57">
        <f t="shared" si="40"/>
        <v>0</v>
      </c>
      <c r="AC26" s="57">
        <f t="shared" si="41"/>
        <v>0</v>
      </c>
      <c r="AD26" s="57">
        <f t="shared" si="42"/>
        <v>0</v>
      </c>
      <c r="AE26" s="57">
        <f t="shared" si="43"/>
        <v>0</v>
      </c>
      <c r="AF26" s="57">
        <f t="shared" si="44"/>
        <v>0</v>
      </c>
      <c r="AG26" s="57">
        <f t="shared" si="45"/>
        <v>0</v>
      </c>
      <c r="AH26" s="57">
        <f t="shared" si="46"/>
        <v>0</v>
      </c>
      <c r="AI26" s="57">
        <f t="shared" si="47"/>
        <v>5038</v>
      </c>
      <c r="AJ26" s="57">
        <f t="shared" si="48"/>
        <v>0</v>
      </c>
      <c r="AK26" s="57">
        <f t="shared" si="49"/>
        <v>0</v>
      </c>
      <c r="AL26" s="57">
        <f t="shared" si="50"/>
        <v>5038</v>
      </c>
    </row>
    <row r="27" spans="1:38" ht="12.75">
      <c r="A27" s="87" t="s">
        <v>244</v>
      </c>
      <c r="B27" s="89">
        <v>10</v>
      </c>
      <c r="C27" s="90">
        <v>15</v>
      </c>
      <c r="D27" s="71">
        <f t="shared" si="34"/>
        <v>7800</v>
      </c>
      <c r="E27" s="88">
        <f t="shared" si="35"/>
        <v>597</v>
      </c>
      <c r="F27" s="91">
        <v>0</v>
      </c>
      <c r="G27" s="91">
        <v>0</v>
      </c>
      <c r="H27" s="91">
        <v>0</v>
      </c>
      <c r="I27" s="91">
        <v>0</v>
      </c>
      <c r="J27" s="91">
        <v>0</v>
      </c>
      <c r="K27" s="91">
        <v>0</v>
      </c>
      <c r="L27" s="91">
        <v>0</v>
      </c>
      <c r="M27" s="71">
        <f t="shared" si="36"/>
        <v>597</v>
      </c>
      <c r="N27" s="71">
        <f t="shared" si="37"/>
        <v>8397</v>
      </c>
      <c r="O27" s="80"/>
      <c r="P27" s="80"/>
      <c r="Q27" s="80"/>
      <c r="R27" s="80"/>
      <c r="S27" s="80"/>
      <c r="T27" s="80"/>
      <c r="U27" s="80"/>
      <c r="V27" s="80"/>
      <c r="W27" s="80">
        <v>1</v>
      </c>
      <c r="X27" s="80"/>
      <c r="Y27" s="80"/>
      <c r="Z27" s="60">
        <f t="shared" si="38"/>
        <v>1</v>
      </c>
      <c r="AA27" s="57">
        <f t="shared" si="39"/>
        <v>0</v>
      </c>
      <c r="AB27" s="57">
        <f t="shared" si="40"/>
        <v>0</v>
      </c>
      <c r="AC27" s="57">
        <f t="shared" si="41"/>
        <v>0</v>
      </c>
      <c r="AD27" s="57">
        <f t="shared" si="42"/>
        <v>0</v>
      </c>
      <c r="AE27" s="57">
        <f t="shared" si="43"/>
        <v>0</v>
      </c>
      <c r="AF27" s="57">
        <f t="shared" si="44"/>
        <v>0</v>
      </c>
      <c r="AG27" s="57">
        <f t="shared" si="45"/>
        <v>0</v>
      </c>
      <c r="AH27" s="57">
        <f t="shared" si="46"/>
        <v>0</v>
      </c>
      <c r="AI27" s="57">
        <f t="shared" si="47"/>
        <v>8397</v>
      </c>
      <c r="AJ27" s="57">
        <f t="shared" si="48"/>
        <v>0</v>
      </c>
      <c r="AK27" s="57">
        <f t="shared" si="49"/>
        <v>0</v>
      </c>
      <c r="AL27" s="57">
        <f t="shared" si="50"/>
        <v>8397</v>
      </c>
    </row>
    <row r="28" spans="1:38" ht="12.75">
      <c r="A28" s="73" t="s">
        <v>240</v>
      </c>
      <c r="B28" s="89">
        <v>20</v>
      </c>
      <c r="C28" s="90">
        <v>15</v>
      </c>
      <c r="D28" s="71">
        <f t="shared" si="34"/>
        <v>15600</v>
      </c>
      <c r="E28" s="88">
        <f t="shared" si="35"/>
        <v>1193</v>
      </c>
      <c r="F28" s="91">
        <v>3039</v>
      </c>
      <c r="G28" s="91">
        <v>0</v>
      </c>
      <c r="H28" s="91">
        <v>500</v>
      </c>
      <c r="I28" s="91">
        <v>0</v>
      </c>
      <c r="J28" s="91">
        <v>0</v>
      </c>
      <c r="K28" s="91">
        <v>0</v>
      </c>
      <c r="L28" s="91">
        <v>0</v>
      </c>
      <c r="M28" s="71">
        <f t="shared" si="36"/>
        <v>4732</v>
      </c>
      <c r="N28" s="71">
        <f t="shared" si="37"/>
        <v>20332</v>
      </c>
      <c r="O28" s="80"/>
      <c r="P28" s="80"/>
      <c r="Q28" s="80"/>
      <c r="R28" s="80"/>
      <c r="S28" s="80"/>
      <c r="T28" s="80"/>
      <c r="U28" s="80"/>
      <c r="V28" s="80">
        <v>0.1</v>
      </c>
      <c r="W28" s="80">
        <v>0.9</v>
      </c>
      <c r="X28" s="80"/>
      <c r="Y28" s="80"/>
      <c r="Z28" s="60">
        <f t="shared" si="38"/>
        <v>1</v>
      </c>
      <c r="AA28" s="57">
        <f t="shared" si="39"/>
        <v>0</v>
      </c>
      <c r="AB28" s="57">
        <f t="shared" si="40"/>
        <v>0</v>
      </c>
      <c r="AC28" s="57">
        <f t="shared" si="41"/>
        <v>0</v>
      </c>
      <c r="AD28" s="57">
        <f t="shared" si="42"/>
        <v>0</v>
      </c>
      <c r="AE28" s="57">
        <f t="shared" si="43"/>
        <v>0</v>
      </c>
      <c r="AF28" s="57">
        <f t="shared" si="44"/>
        <v>0</v>
      </c>
      <c r="AG28" s="57">
        <f t="shared" si="45"/>
        <v>0</v>
      </c>
      <c r="AH28" s="57">
        <f t="shared" si="46"/>
        <v>2033</v>
      </c>
      <c r="AI28" s="57">
        <f t="shared" si="47"/>
        <v>18299</v>
      </c>
      <c r="AJ28" s="57">
        <f t="shared" si="48"/>
        <v>0</v>
      </c>
      <c r="AK28" s="57">
        <f t="shared" si="49"/>
        <v>0</v>
      </c>
      <c r="AL28" s="57">
        <f t="shared" si="50"/>
        <v>20332</v>
      </c>
    </row>
    <row r="29" spans="1:38" ht="12.75">
      <c r="A29" s="73" t="s">
        <v>245</v>
      </c>
      <c r="B29" s="89">
        <v>0</v>
      </c>
      <c r="C29" s="90">
        <v>0</v>
      </c>
      <c r="D29" s="71">
        <f t="shared" si="34"/>
        <v>0</v>
      </c>
      <c r="E29" s="88">
        <f t="shared" si="35"/>
        <v>0</v>
      </c>
      <c r="F29" s="91">
        <v>0</v>
      </c>
      <c r="G29" s="91">
        <v>0</v>
      </c>
      <c r="H29" s="91">
        <v>0</v>
      </c>
      <c r="I29" s="91">
        <v>0</v>
      </c>
      <c r="J29" s="91">
        <v>0</v>
      </c>
      <c r="K29" s="91">
        <v>0</v>
      </c>
      <c r="L29" s="91">
        <v>0</v>
      </c>
      <c r="M29" s="71">
        <f t="shared" si="36"/>
        <v>0</v>
      </c>
      <c r="N29" s="71">
        <f t="shared" si="37"/>
        <v>0</v>
      </c>
      <c r="O29" s="80"/>
      <c r="P29" s="80"/>
      <c r="Q29" s="80"/>
      <c r="R29" s="80"/>
      <c r="S29" s="80"/>
      <c r="T29" s="80"/>
      <c r="U29" s="80"/>
      <c r="V29" s="80"/>
      <c r="W29" s="80"/>
      <c r="X29" s="80"/>
      <c r="Y29" s="80"/>
      <c r="AA29" s="57">
        <f t="shared" si="39"/>
        <v>0</v>
      </c>
      <c r="AB29" s="57">
        <f t="shared" si="40"/>
        <v>0</v>
      </c>
      <c r="AC29" s="57">
        <f t="shared" si="41"/>
        <v>0</v>
      </c>
      <c r="AD29" s="57">
        <f t="shared" si="42"/>
        <v>0</v>
      </c>
      <c r="AE29" s="57">
        <f t="shared" si="43"/>
        <v>0</v>
      </c>
      <c r="AF29" s="57">
        <f t="shared" si="44"/>
        <v>0</v>
      </c>
      <c r="AG29" s="57">
        <f t="shared" si="45"/>
        <v>0</v>
      </c>
      <c r="AH29" s="57">
        <f t="shared" si="46"/>
        <v>0</v>
      </c>
      <c r="AI29" s="57">
        <f t="shared" si="47"/>
        <v>0</v>
      </c>
      <c r="AJ29" s="57">
        <f t="shared" si="48"/>
        <v>0</v>
      </c>
      <c r="AK29" s="57">
        <f t="shared" si="49"/>
        <v>0</v>
      </c>
      <c r="AL29" s="57">
        <f t="shared" si="50"/>
        <v>0</v>
      </c>
    </row>
    <row r="30" spans="1:38" ht="12.75">
      <c r="A30" s="87" t="s">
        <v>246</v>
      </c>
      <c r="B30" s="89">
        <v>8</v>
      </c>
      <c r="C30" s="90">
        <v>15</v>
      </c>
      <c r="D30" s="71">
        <f t="shared" si="34"/>
        <v>6240</v>
      </c>
      <c r="E30" s="88">
        <f t="shared" si="35"/>
        <v>477</v>
      </c>
      <c r="F30" s="91">
        <v>0</v>
      </c>
      <c r="G30" s="91">
        <v>0</v>
      </c>
      <c r="H30" s="91">
        <v>0</v>
      </c>
      <c r="I30" s="91">
        <v>0</v>
      </c>
      <c r="J30" s="91">
        <v>0</v>
      </c>
      <c r="K30" s="91">
        <v>0</v>
      </c>
      <c r="L30" s="91">
        <v>0</v>
      </c>
      <c r="M30" s="71">
        <f t="shared" si="36"/>
        <v>477</v>
      </c>
      <c r="N30" s="71">
        <f t="shared" si="37"/>
        <v>6717</v>
      </c>
      <c r="O30" s="80"/>
      <c r="P30" s="80"/>
      <c r="Q30" s="80"/>
      <c r="R30" s="80"/>
      <c r="S30" s="80"/>
      <c r="T30" s="80"/>
      <c r="U30" s="80"/>
      <c r="V30" s="80"/>
      <c r="W30" s="80">
        <v>1</v>
      </c>
      <c r="X30" s="80"/>
      <c r="Y30" s="80"/>
      <c r="Z30" s="60">
        <f aca="true" t="shared" si="51" ref="Z30:Z33">SUM(O30:Y30)</f>
        <v>1</v>
      </c>
      <c r="AA30" s="57">
        <f t="shared" si="39"/>
        <v>0</v>
      </c>
      <c r="AB30" s="57">
        <f t="shared" si="40"/>
        <v>0</v>
      </c>
      <c r="AC30" s="57">
        <f t="shared" si="41"/>
        <v>0</v>
      </c>
      <c r="AD30" s="57">
        <f t="shared" si="42"/>
        <v>0</v>
      </c>
      <c r="AE30" s="57">
        <f t="shared" si="43"/>
        <v>0</v>
      </c>
      <c r="AF30" s="57">
        <f t="shared" si="44"/>
        <v>0</v>
      </c>
      <c r="AG30" s="57">
        <f t="shared" si="45"/>
        <v>0</v>
      </c>
      <c r="AH30" s="57">
        <f t="shared" si="46"/>
        <v>0</v>
      </c>
      <c r="AI30" s="57">
        <f t="shared" si="47"/>
        <v>6717</v>
      </c>
      <c r="AJ30" s="57">
        <f t="shared" si="48"/>
        <v>0</v>
      </c>
      <c r="AK30" s="57">
        <f t="shared" si="49"/>
        <v>0</v>
      </c>
      <c r="AL30" s="57">
        <f t="shared" si="50"/>
        <v>6717</v>
      </c>
    </row>
    <row r="31" spans="1:38" ht="12.75">
      <c r="A31" s="73" t="s">
        <v>247</v>
      </c>
      <c r="B31" s="89">
        <v>40</v>
      </c>
      <c r="C31" s="90">
        <v>15</v>
      </c>
      <c r="D31" s="71">
        <f t="shared" si="34"/>
        <v>31200</v>
      </c>
      <c r="E31" s="88">
        <f t="shared" si="35"/>
        <v>2387</v>
      </c>
      <c r="F31" s="91">
        <v>3190</v>
      </c>
      <c r="G31" s="91">
        <v>0</v>
      </c>
      <c r="H31" s="91">
        <v>500</v>
      </c>
      <c r="I31" s="91">
        <v>0</v>
      </c>
      <c r="J31" s="91">
        <v>0</v>
      </c>
      <c r="K31" s="91">
        <f>2310*0.48</f>
        <v>1108.8</v>
      </c>
      <c r="L31" s="91">
        <v>0</v>
      </c>
      <c r="M31" s="71">
        <f t="shared" si="36"/>
        <v>7185.8</v>
      </c>
      <c r="N31" s="71">
        <f t="shared" si="37"/>
        <v>38385.8</v>
      </c>
      <c r="O31" s="80"/>
      <c r="P31" s="80"/>
      <c r="Q31" s="80"/>
      <c r="R31" s="80"/>
      <c r="S31" s="80"/>
      <c r="T31" s="80"/>
      <c r="U31" s="80"/>
      <c r="V31" s="80">
        <v>1</v>
      </c>
      <c r="W31" s="80"/>
      <c r="X31" s="80"/>
      <c r="Y31" s="80"/>
      <c r="Z31" s="60">
        <f t="shared" si="51"/>
        <v>1</v>
      </c>
      <c r="AA31" s="57">
        <f t="shared" si="39"/>
        <v>0</v>
      </c>
      <c r="AB31" s="57">
        <f t="shared" si="40"/>
        <v>0</v>
      </c>
      <c r="AC31" s="57">
        <f t="shared" si="41"/>
        <v>0</v>
      </c>
      <c r="AD31" s="57">
        <f t="shared" si="42"/>
        <v>0</v>
      </c>
      <c r="AE31" s="57">
        <f t="shared" si="43"/>
        <v>0</v>
      </c>
      <c r="AF31" s="57">
        <f t="shared" si="44"/>
        <v>0</v>
      </c>
      <c r="AG31" s="57">
        <f t="shared" si="45"/>
        <v>0</v>
      </c>
      <c r="AH31" s="57">
        <f t="shared" si="46"/>
        <v>38386</v>
      </c>
      <c r="AI31" s="57">
        <f t="shared" si="47"/>
        <v>0</v>
      </c>
      <c r="AJ31" s="57">
        <f t="shared" si="48"/>
        <v>0</v>
      </c>
      <c r="AK31" s="57">
        <f t="shared" si="49"/>
        <v>0</v>
      </c>
      <c r="AL31" s="57">
        <f t="shared" si="50"/>
        <v>38386</v>
      </c>
    </row>
    <row r="32" spans="1:38" ht="12.75">
      <c r="A32" s="73" t="s">
        <v>248</v>
      </c>
      <c r="B32" s="74"/>
      <c r="C32" s="93"/>
      <c r="D32" s="76">
        <v>1000</v>
      </c>
      <c r="E32" s="77">
        <f t="shared" si="35"/>
        <v>77</v>
      </c>
      <c r="F32" s="78">
        <v>0</v>
      </c>
      <c r="G32" s="78">
        <v>0</v>
      </c>
      <c r="H32" s="78">
        <v>0</v>
      </c>
      <c r="I32" s="78">
        <v>0</v>
      </c>
      <c r="J32" s="78">
        <v>0</v>
      </c>
      <c r="K32" s="78">
        <v>0</v>
      </c>
      <c r="L32" s="78">
        <v>0</v>
      </c>
      <c r="M32" s="79">
        <f t="shared" si="36"/>
        <v>77</v>
      </c>
      <c r="N32" s="79">
        <f t="shared" si="37"/>
        <v>1077</v>
      </c>
      <c r="O32" s="80"/>
      <c r="P32" s="80"/>
      <c r="Q32" s="80"/>
      <c r="R32" s="80"/>
      <c r="S32" s="80"/>
      <c r="T32" s="80"/>
      <c r="U32" s="80"/>
      <c r="V32" s="80">
        <v>1</v>
      </c>
      <c r="W32" s="80"/>
      <c r="X32" s="80"/>
      <c r="Y32" s="80"/>
      <c r="Z32" s="60">
        <f t="shared" si="51"/>
        <v>1</v>
      </c>
      <c r="AA32" s="57">
        <f t="shared" si="39"/>
        <v>0</v>
      </c>
      <c r="AB32" s="57">
        <f t="shared" si="40"/>
        <v>0</v>
      </c>
      <c r="AC32" s="57">
        <f t="shared" si="41"/>
        <v>0</v>
      </c>
      <c r="AD32" s="57">
        <f t="shared" si="42"/>
        <v>0</v>
      </c>
      <c r="AE32" s="57">
        <f t="shared" si="43"/>
        <v>0</v>
      </c>
      <c r="AF32" s="57">
        <f t="shared" si="44"/>
        <v>0</v>
      </c>
      <c r="AG32" s="57">
        <f t="shared" si="45"/>
        <v>0</v>
      </c>
      <c r="AH32" s="57">
        <f t="shared" si="46"/>
        <v>1077</v>
      </c>
      <c r="AI32" s="57">
        <f t="shared" si="47"/>
        <v>0</v>
      </c>
      <c r="AJ32" s="57">
        <f t="shared" si="48"/>
        <v>0</v>
      </c>
      <c r="AK32" s="57">
        <f t="shared" si="49"/>
        <v>0</v>
      </c>
      <c r="AL32" s="57">
        <f t="shared" si="50"/>
        <v>1077</v>
      </c>
    </row>
    <row r="33" spans="1:38" ht="12.75">
      <c r="A33" s="87" t="s">
        <v>241</v>
      </c>
      <c r="B33" s="81"/>
      <c r="C33" s="94"/>
      <c r="D33" s="83">
        <v>1000</v>
      </c>
      <c r="E33" s="84">
        <f t="shared" si="35"/>
        <v>77</v>
      </c>
      <c r="F33" s="85">
        <v>0</v>
      </c>
      <c r="G33" s="85">
        <v>0</v>
      </c>
      <c r="H33" s="85">
        <v>0</v>
      </c>
      <c r="I33" s="85">
        <v>0</v>
      </c>
      <c r="J33" s="85">
        <v>0</v>
      </c>
      <c r="K33" s="85">
        <v>0</v>
      </c>
      <c r="L33" s="85">
        <v>0</v>
      </c>
      <c r="M33" s="86">
        <f t="shared" si="36"/>
        <v>77</v>
      </c>
      <c r="N33" s="86">
        <f t="shared" si="37"/>
        <v>1077</v>
      </c>
      <c r="O33" s="80"/>
      <c r="P33" s="80"/>
      <c r="Q33" s="80"/>
      <c r="R33" s="80"/>
      <c r="S33" s="80"/>
      <c r="T33" s="80"/>
      <c r="U33" s="80"/>
      <c r="V33" s="80">
        <v>0.33</v>
      </c>
      <c r="W33" s="80">
        <v>0.67</v>
      </c>
      <c r="X33" s="80"/>
      <c r="Y33" s="80"/>
      <c r="Z33" s="60">
        <f t="shared" si="51"/>
        <v>1</v>
      </c>
      <c r="AA33" s="57">
        <f t="shared" si="39"/>
        <v>0</v>
      </c>
      <c r="AB33" s="57">
        <f t="shared" si="40"/>
        <v>0</v>
      </c>
      <c r="AC33" s="57">
        <f t="shared" si="41"/>
        <v>0</v>
      </c>
      <c r="AD33" s="57">
        <f t="shared" si="42"/>
        <v>0</v>
      </c>
      <c r="AE33" s="57">
        <f t="shared" si="43"/>
        <v>0</v>
      </c>
      <c r="AF33" s="57">
        <f t="shared" si="44"/>
        <v>0</v>
      </c>
      <c r="AG33" s="57">
        <f t="shared" si="45"/>
        <v>0</v>
      </c>
      <c r="AH33" s="57">
        <f t="shared" si="46"/>
        <v>355</v>
      </c>
      <c r="AI33" s="57">
        <f t="shared" si="47"/>
        <v>722</v>
      </c>
      <c r="AJ33" s="57">
        <f t="shared" si="48"/>
        <v>0</v>
      </c>
      <c r="AK33" s="57">
        <f t="shared" si="49"/>
        <v>0</v>
      </c>
      <c r="AL33" s="57">
        <f t="shared" si="50"/>
        <v>1077</v>
      </c>
    </row>
    <row r="34" spans="1:14" ht="12.75">
      <c r="A34" s="87" t="s">
        <v>233</v>
      </c>
      <c r="B34" s="58">
        <f>SUM(B25:B33)/40</f>
        <v>2.6</v>
      </c>
      <c r="D34" s="71">
        <f>SUM(D25:D33)</f>
        <v>83120</v>
      </c>
      <c r="E34" s="57">
        <f>SUM(E25:E33)</f>
        <v>6359</v>
      </c>
      <c r="F34" s="57">
        <f>SUM(F25:F33)</f>
        <v>6229</v>
      </c>
      <c r="G34" s="57">
        <f>SUM(G25:G33)</f>
        <v>0</v>
      </c>
      <c r="H34" s="57">
        <f>SUM(H25:H33)</f>
        <v>1000</v>
      </c>
      <c r="I34" s="57">
        <f>SUM(I25:I33)</f>
        <v>0</v>
      </c>
      <c r="J34" s="57">
        <f>SUM(J25:J33)</f>
        <v>500</v>
      </c>
      <c r="K34" s="57">
        <f>SUM(K25:K33)</f>
        <v>1386</v>
      </c>
      <c r="L34" s="57">
        <f>SUM(L25:L33)</f>
        <v>0</v>
      </c>
      <c r="M34" s="71">
        <f>SUM(M25:M33)</f>
        <v>15474</v>
      </c>
      <c r="N34" s="71">
        <f>SUM(N25:N33)</f>
        <v>98594</v>
      </c>
    </row>
    <row r="35" spans="4:14" ht="12.75">
      <c r="D35" s="71"/>
      <c r="M35" s="71"/>
      <c r="N35" s="71"/>
    </row>
    <row r="36" spans="1:38" ht="13.5">
      <c r="A36" s="87" t="s">
        <v>249</v>
      </c>
      <c r="B36" s="96">
        <f>+B11+B22+B34</f>
        <v>8.975</v>
      </c>
      <c r="D36" s="97">
        <f>+D11+D22+D34</f>
        <v>321120</v>
      </c>
      <c r="E36" s="98">
        <f>+E11+E22+E34</f>
        <v>23236</v>
      </c>
      <c r="F36" s="98">
        <f>+F11+F22+F34</f>
        <v>42402</v>
      </c>
      <c r="G36" s="98">
        <f>+G11+G22+G34</f>
        <v>10576</v>
      </c>
      <c r="H36" s="98">
        <f>+H11+H22+H34</f>
        <v>3000</v>
      </c>
      <c r="I36" s="98">
        <f>+I11+I22+I34</f>
        <v>4800</v>
      </c>
      <c r="J36" s="98">
        <f>+J11+J22+J34</f>
        <v>9000</v>
      </c>
      <c r="K36" s="98">
        <v>2310</v>
      </c>
      <c r="L36" s="98">
        <f>+L11+L22+L34</f>
        <v>2000</v>
      </c>
      <c r="M36" s="97">
        <f>+M11+M22+M34</f>
        <v>97324</v>
      </c>
      <c r="N36" s="97">
        <f>+N11+N22+N34</f>
        <v>418444</v>
      </c>
      <c r="AA36" s="99">
        <f>SUM(AA9:AA33)</f>
        <v>69498</v>
      </c>
      <c r="AB36" s="99">
        <f>SUM(AB9:AB33)</f>
        <v>106479</v>
      </c>
      <c r="AC36" s="99">
        <f>SUM(AC9:AC33)</f>
        <v>53539</v>
      </c>
      <c r="AD36" s="99">
        <f>SUM(AD9:AD33)</f>
        <v>43093</v>
      </c>
      <c r="AE36" s="99">
        <f>SUM(AE9:AE33)</f>
        <v>8133</v>
      </c>
      <c r="AF36" s="99">
        <f>SUM(AF9:AF33)</f>
        <v>21786</v>
      </c>
      <c r="AG36" s="99">
        <f>SUM(AG9:AG33)</f>
        <v>0</v>
      </c>
      <c r="AH36" s="99">
        <f>SUM(AH9:AH33)</f>
        <v>45365</v>
      </c>
      <c r="AI36" s="99">
        <f>SUM(AI9:AI33)</f>
        <v>70553</v>
      </c>
      <c r="AJ36" s="99">
        <f>SUM(AJ9:AJ33)</f>
        <v>0</v>
      </c>
      <c r="AK36" s="99">
        <f>SUM(AK9:AK33)</f>
        <v>0</v>
      </c>
      <c r="AL36" s="99">
        <f>SUM(AL9:AL33)</f>
        <v>418446</v>
      </c>
    </row>
  </sheetData>
  <sheetProtection selectLockedCells="1" selectUnlockedCells="1"/>
  <printOptions/>
  <pageMargins left="0.4097222222222222" right="0.25972222222222224" top="0.7298611111111111" bottom="0.9840277777777777" header="0.5118055555555555" footer="0.5"/>
  <pageSetup horizontalDpi="300" verticalDpi="300" orientation="landscape"/>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140625" defaultRowHeight="12.75"/>
  <cols>
    <col min="1" max="1" width="26.421875" style="100" customWidth="1"/>
    <col min="2" max="6" width="13.7109375" style="57" customWidth="1"/>
    <col min="7" max="7" width="11.28125" style="0" customWidth="1"/>
  </cols>
  <sheetData>
    <row r="1" ht="18">
      <c r="A1" s="61">
        <f>'2. Proposed Budget'!B2</f>
        <v>0</v>
      </c>
    </row>
    <row r="2" ht="18">
      <c r="A2" s="61">
        <f>+'2. Proposed Budget'!B3</f>
        <v>0</v>
      </c>
    </row>
    <row r="3" ht="18">
      <c r="A3" s="1" t="s">
        <v>250</v>
      </c>
    </row>
    <row r="4" ht="18">
      <c r="A4" s="1" t="s">
        <v>251</v>
      </c>
    </row>
    <row r="5" spans="2:7" s="101" customFormat="1" ht="15.75">
      <c r="B5" s="102" t="s">
        <v>252</v>
      </c>
      <c r="C5" s="102"/>
      <c r="D5" s="102" t="s">
        <v>253</v>
      </c>
      <c r="E5" s="102" t="s">
        <v>229</v>
      </c>
      <c r="F5" s="102" t="s">
        <v>254</v>
      </c>
      <c r="G5" s="103" t="s">
        <v>255</v>
      </c>
    </row>
    <row r="6" spans="2:7" s="101" customFormat="1" ht="15.75">
      <c r="B6" s="102" t="s">
        <v>256</v>
      </c>
      <c r="C6" s="102" t="s">
        <v>257</v>
      </c>
      <c r="D6" s="102" t="s">
        <v>204</v>
      </c>
      <c r="E6" s="102" t="s">
        <v>258</v>
      </c>
      <c r="F6" s="102" t="s">
        <v>204</v>
      </c>
      <c r="G6" s="103"/>
    </row>
    <row r="7" spans="2:7" s="101" customFormat="1" ht="15.75">
      <c r="B7" s="102"/>
      <c r="C7" s="102"/>
      <c r="D7" s="102"/>
      <c r="E7" s="102"/>
      <c r="F7" s="102"/>
      <c r="G7" s="103"/>
    </row>
    <row r="8" spans="1:7" ht="15">
      <c r="A8" s="104" t="s">
        <v>49</v>
      </c>
      <c r="B8" s="57">
        <f>+'3. Wages and Benefits'!AA36</f>
        <v>69498</v>
      </c>
      <c r="C8" s="57">
        <f>+'2. Proposed Budget'!F37</f>
        <v>10000</v>
      </c>
      <c r="D8" s="57">
        <f aca="true" t="shared" si="0" ref="D8:D17">SUM(B8:C8)</f>
        <v>79498</v>
      </c>
      <c r="F8" s="57">
        <f aca="true" t="shared" si="1" ref="F8:F18">SUM(D8:E8)</f>
        <v>79498</v>
      </c>
      <c r="G8" s="60">
        <f aca="true" t="shared" si="2" ref="G8:G18">F8/F$20</f>
        <v>0.1130132726410729</v>
      </c>
    </row>
    <row r="9" spans="1:7" ht="15">
      <c r="A9" s="105" t="s">
        <v>61</v>
      </c>
      <c r="B9" s="57">
        <f>+'3. Wages and Benefits'!AB36</f>
        <v>106479</v>
      </c>
      <c r="C9" s="57">
        <f>+'2. Proposed Budget'!F48</f>
        <v>8000</v>
      </c>
      <c r="D9" s="57">
        <f t="shared" si="0"/>
        <v>114479</v>
      </c>
      <c r="F9" s="57">
        <f t="shared" si="1"/>
        <v>114479</v>
      </c>
      <c r="G9" s="60">
        <f t="shared" si="2"/>
        <v>0.16274178518550636</v>
      </c>
    </row>
    <row r="10" spans="1:7" ht="15">
      <c r="A10" s="105" t="s">
        <v>259</v>
      </c>
      <c r="B10" s="57">
        <f>+'3. Wages and Benefits'!AC36</f>
        <v>53539</v>
      </c>
      <c r="C10" s="57">
        <f>+'2. Proposed Budget'!F67</f>
        <v>16000</v>
      </c>
      <c r="D10" s="57">
        <f t="shared" si="0"/>
        <v>69539</v>
      </c>
      <c r="F10" s="57">
        <f t="shared" si="1"/>
        <v>69539</v>
      </c>
      <c r="G10" s="60">
        <f t="shared" si="2"/>
        <v>0.09885569405755577</v>
      </c>
    </row>
    <row r="11" spans="1:7" ht="15">
      <c r="A11" s="105" t="s">
        <v>93</v>
      </c>
      <c r="B11" s="57">
        <f>+'3. Wages and Benefits'!AD36</f>
        <v>43093</v>
      </c>
      <c r="C11" s="57">
        <f>+'2. Proposed Budget'!F82</f>
        <v>12000</v>
      </c>
      <c r="D11" s="57">
        <f t="shared" si="0"/>
        <v>55093</v>
      </c>
      <c r="F11" s="57">
        <f t="shared" si="1"/>
        <v>55093</v>
      </c>
      <c r="G11" s="60">
        <f t="shared" si="2"/>
        <v>0.07831945746578065</v>
      </c>
    </row>
    <row r="12" spans="1:7" ht="15">
      <c r="A12" s="105" t="s">
        <v>106</v>
      </c>
      <c r="B12" s="57">
        <f>+'3. Wages and Benefits'!AE36</f>
        <v>8133</v>
      </c>
      <c r="C12" s="57">
        <f>+'2. Proposed Budget'!F93</f>
        <v>8000</v>
      </c>
      <c r="D12" s="57">
        <f t="shared" si="0"/>
        <v>16133</v>
      </c>
      <c r="F12" s="57">
        <f t="shared" si="1"/>
        <v>16133</v>
      </c>
      <c r="G12" s="60">
        <f t="shared" si="2"/>
        <v>0.022934452785207542</v>
      </c>
    </row>
    <row r="13" spans="1:7" ht="15">
      <c r="A13" s="105" t="s">
        <v>115</v>
      </c>
      <c r="B13" s="57">
        <f>+'3. Wages and Benefits'!AF36</f>
        <v>21786</v>
      </c>
      <c r="C13" s="57">
        <f>+'2. Proposed Budget'!F109</f>
        <v>13000</v>
      </c>
      <c r="D13" s="57">
        <f t="shared" si="0"/>
        <v>34786</v>
      </c>
      <c r="E13" s="57">
        <f>+'2. Proposed Budget'!F167+'2. Proposed Budget'!F169</f>
        <v>2000</v>
      </c>
      <c r="F13" s="57">
        <f t="shared" si="1"/>
        <v>36786</v>
      </c>
      <c r="G13" s="60">
        <f t="shared" si="2"/>
        <v>0.052294475928633524</v>
      </c>
    </row>
    <row r="14" spans="1:7" ht="15">
      <c r="A14" s="105" t="s">
        <v>131</v>
      </c>
      <c r="B14" s="57">
        <f>+'3. Wages and Benefits'!AG36</f>
        <v>0</v>
      </c>
      <c r="C14" s="57">
        <f>+'2. Proposed Budget'!F123</f>
        <v>185993.5</v>
      </c>
      <c r="D14" s="57">
        <f t="shared" si="0"/>
        <v>185993.5</v>
      </c>
      <c r="F14" s="57">
        <f t="shared" si="1"/>
        <v>185993.5</v>
      </c>
      <c r="G14" s="60">
        <f t="shared" si="2"/>
        <v>0.2644058231020578</v>
      </c>
    </row>
    <row r="15" spans="1:7" ht="15">
      <c r="A15" s="105" t="s">
        <v>260</v>
      </c>
      <c r="B15" s="57">
        <f>+'3. Wages and Benefits'!AH36</f>
        <v>45365</v>
      </c>
      <c r="C15" s="57">
        <f>+'2. Proposed Budget'!F137</f>
        <v>11000</v>
      </c>
      <c r="D15" s="57">
        <f t="shared" si="0"/>
        <v>56365</v>
      </c>
      <c r="E15" s="57">
        <f>+'2. Proposed Budget'!F170</f>
        <v>1000</v>
      </c>
      <c r="F15" s="57">
        <f t="shared" si="1"/>
        <v>57365</v>
      </c>
      <c r="G15" s="60">
        <f t="shared" si="2"/>
        <v>0.08154930168123911</v>
      </c>
    </row>
    <row r="16" spans="1:7" ht="15">
      <c r="A16" s="105" t="s">
        <v>261</v>
      </c>
      <c r="B16" s="57">
        <f>+'3. Wages and Benefits'!AI36</f>
        <v>70553</v>
      </c>
      <c r="C16" s="57">
        <f>+'2. Proposed Budget'!F155</f>
        <v>15000</v>
      </c>
      <c r="D16" s="57">
        <f t="shared" si="0"/>
        <v>85553</v>
      </c>
      <c r="F16" s="57">
        <f t="shared" si="1"/>
        <v>85553</v>
      </c>
      <c r="G16" s="60">
        <f t="shared" si="2"/>
        <v>0.12162097806563323</v>
      </c>
    </row>
    <row r="17" spans="1:7" ht="15">
      <c r="A17" s="105" t="s">
        <v>262</v>
      </c>
      <c r="B17" s="57">
        <f>+'3. Wages and Benefits'!AJ36</f>
        <v>0</v>
      </c>
      <c r="C17" s="57">
        <f>+'2. Proposed Budget'!F157</f>
        <v>1000</v>
      </c>
      <c r="D17" s="57">
        <f t="shared" si="0"/>
        <v>1000</v>
      </c>
      <c r="E17" s="57">
        <f>+'2. Proposed Budget'!F166</f>
        <v>1000</v>
      </c>
      <c r="F17" s="57">
        <f t="shared" si="1"/>
        <v>2000</v>
      </c>
      <c r="G17" s="60">
        <f t="shared" si="2"/>
        <v>0.002843172724875416</v>
      </c>
    </row>
    <row r="18" spans="1:7" ht="15">
      <c r="A18" s="105" t="s">
        <v>187</v>
      </c>
      <c r="B18" s="106"/>
      <c r="C18" s="106"/>
      <c r="D18" s="106"/>
      <c r="E18" s="106">
        <f>+'2. Proposed Budget'!F168</f>
        <v>1000</v>
      </c>
      <c r="F18" s="106">
        <f t="shared" si="1"/>
        <v>1000</v>
      </c>
      <c r="G18" s="107">
        <f t="shared" si="2"/>
        <v>0.001421586362437708</v>
      </c>
    </row>
    <row r="19" spans="1:7" ht="15">
      <c r="A19" s="105"/>
      <c r="B19" s="108"/>
      <c r="C19" s="108"/>
      <c r="D19" s="108"/>
      <c r="E19" s="108"/>
      <c r="F19" s="108"/>
      <c r="G19" s="109"/>
    </row>
    <row r="20" spans="1:7" ht="13.5">
      <c r="A20" s="100" t="s">
        <v>263</v>
      </c>
      <c r="B20" s="98">
        <f>SUM(B8:B18)</f>
        <v>418446</v>
      </c>
      <c r="C20" s="98">
        <f>SUM(C8:C18)</f>
        <v>279993.5</v>
      </c>
      <c r="D20" s="98">
        <f>SUM(D8:D18)</f>
        <v>698439.5</v>
      </c>
      <c r="E20" s="98">
        <f>SUM(E8:E18)</f>
        <v>5000</v>
      </c>
      <c r="F20" s="98">
        <f>SUM(F8:F19)</f>
        <v>703439.5</v>
      </c>
      <c r="G20" s="110">
        <f>F20/F$20</f>
        <v>1</v>
      </c>
    </row>
  </sheetData>
  <sheetProtection selectLockedCells="1" selectUnlockedCells="1"/>
  <printOptions/>
  <pageMargins left="0.5902777777777778" right="0.49027777777777776" top="0.9840277777777777" bottom="0.9840277777777777" header="0.5118055555555555" footer="0.5118055555555555"/>
  <pageSetup horizontalDpi="300" verticalDpi="300" orientation="portrait" scale="90"/>
  <drawing r:id="rId1"/>
</worksheet>
</file>

<file path=xl/worksheets/sheet5.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140625" defaultRowHeight="12.75"/>
  <cols>
    <col min="1" max="1" width="45.28125" style="100" customWidth="1"/>
    <col min="2" max="3" width="0" style="57" hidden="1" customWidth="1"/>
    <col min="4" max="4" width="15.140625" style="57" customWidth="1"/>
    <col min="5" max="5" width="13.7109375" style="57" customWidth="1"/>
    <col min="6" max="6" width="15.421875" style="57" customWidth="1"/>
    <col min="7" max="7" width="12.57421875" style="0" customWidth="1"/>
  </cols>
  <sheetData>
    <row r="1" ht="17.25" customHeight="1">
      <c r="A1" s="61">
        <f>'2. Proposed Budget'!B2</f>
        <v>0</v>
      </c>
    </row>
    <row r="2" ht="18">
      <c r="A2" s="61">
        <f>+'2. Proposed Budget'!B3</f>
        <v>0</v>
      </c>
    </row>
    <row r="3" ht="18">
      <c r="A3" s="1" t="s">
        <v>250</v>
      </c>
    </row>
    <row r="4" ht="18">
      <c r="A4" s="1" t="s">
        <v>251</v>
      </c>
    </row>
    <row r="5" spans="2:7" s="101" customFormat="1" ht="15.75">
      <c r="B5" s="102" t="s">
        <v>252</v>
      </c>
      <c r="C5" s="102"/>
      <c r="D5" s="102" t="s">
        <v>264</v>
      </c>
      <c r="E5" s="102" t="s">
        <v>229</v>
      </c>
      <c r="F5" s="102"/>
      <c r="G5" s="103" t="s">
        <v>255</v>
      </c>
    </row>
    <row r="6" spans="2:7" s="101" customFormat="1" ht="15.75">
      <c r="B6" s="102" t="s">
        <v>256</v>
      </c>
      <c r="C6" s="102" t="s">
        <v>257</v>
      </c>
      <c r="D6" s="102" t="s">
        <v>216</v>
      </c>
      <c r="E6" s="102" t="s">
        <v>258</v>
      </c>
      <c r="F6" s="102" t="s">
        <v>204</v>
      </c>
      <c r="G6" s="103"/>
    </row>
    <row r="7" spans="2:7" s="101" customFormat="1" ht="15.75">
      <c r="B7" s="102"/>
      <c r="C7" s="102"/>
      <c r="D7" s="102"/>
      <c r="E7" s="102"/>
      <c r="F7" s="102"/>
      <c r="G7" s="103"/>
    </row>
    <row r="8" spans="1:7" ht="15">
      <c r="A8" s="104">
        <f>'4. All Dept summary'!A8</f>
        <v>0</v>
      </c>
      <c r="B8" s="57">
        <f>+'3. Wages and Benefits'!AA36</f>
        <v>69498</v>
      </c>
      <c r="C8" s="57">
        <f>+'2. Proposed Budget'!F37</f>
        <v>10000</v>
      </c>
      <c r="D8" s="57">
        <f>'4. All Dept summary'!D8</f>
        <v>79498</v>
      </c>
      <c r="F8" s="57">
        <f aca="true" t="shared" si="0" ref="F8:F18">SUM(D8:E8)</f>
        <v>79498</v>
      </c>
      <c r="G8" s="60">
        <f aca="true" t="shared" si="1" ref="G8:G18">F8/F$20</f>
        <v>0.1130132726410729</v>
      </c>
    </row>
    <row r="9" spans="1:7" ht="15">
      <c r="A9" s="104">
        <f>'4. All Dept summary'!A9</f>
        <v>0</v>
      </c>
      <c r="B9" s="57">
        <f>+'3. Wages and Benefits'!AA37</f>
        <v>0</v>
      </c>
      <c r="C9" s="57">
        <f>+'2. Proposed Budget'!F38</f>
        <v>0</v>
      </c>
      <c r="D9" s="57">
        <f>'4. All Dept summary'!D9</f>
        <v>114479</v>
      </c>
      <c r="F9" s="57">
        <f t="shared" si="0"/>
        <v>114479</v>
      </c>
      <c r="G9" s="60">
        <f t="shared" si="1"/>
        <v>0.16274178518550636</v>
      </c>
    </row>
    <row r="10" spans="1:7" ht="15">
      <c r="A10" s="104">
        <f>'4. All Dept summary'!A10</f>
        <v>0</v>
      </c>
      <c r="B10" s="57">
        <f>+'3. Wages and Benefits'!AA38</f>
        <v>0</v>
      </c>
      <c r="C10" s="57">
        <f>+'2. Proposed Budget'!F39</f>
        <v>0</v>
      </c>
      <c r="D10" s="57">
        <f>'4. All Dept summary'!D10</f>
        <v>69539</v>
      </c>
      <c r="F10" s="57">
        <f t="shared" si="0"/>
        <v>69539</v>
      </c>
      <c r="G10" s="60">
        <f t="shared" si="1"/>
        <v>0.09885569405755577</v>
      </c>
    </row>
    <row r="11" spans="1:7" ht="15">
      <c r="A11" s="104">
        <f>'4. All Dept summary'!A11</f>
        <v>0</v>
      </c>
      <c r="B11" s="57">
        <f>+'3. Wages and Benefits'!AA39</f>
        <v>0</v>
      </c>
      <c r="C11" s="57">
        <f>+'2. Proposed Budget'!F40</f>
        <v>1000</v>
      </c>
      <c r="D11" s="57">
        <f>'4. All Dept summary'!D11</f>
        <v>55093</v>
      </c>
      <c r="F11" s="57">
        <f t="shared" si="0"/>
        <v>55093</v>
      </c>
      <c r="G11" s="60">
        <f t="shared" si="1"/>
        <v>0.07831945746578065</v>
      </c>
    </row>
    <row r="12" spans="1:7" ht="15">
      <c r="A12" s="104">
        <f>'4. All Dept summary'!A12</f>
        <v>0</v>
      </c>
      <c r="B12" s="57">
        <f>+'3. Wages and Benefits'!AA40</f>
        <v>0</v>
      </c>
      <c r="C12" s="57">
        <f>+'2. Proposed Budget'!F41</f>
        <v>1000</v>
      </c>
      <c r="D12" s="57">
        <f>'4. All Dept summary'!D12</f>
        <v>16133</v>
      </c>
      <c r="F12" s="57">
        <f t="shared" si="0"/>
        <v>16133</v>
      </c>
      <c r="G12" s="60">
        <f t="shared" si="1"/>
        <v>0.022934452785207542</v>
      </c>
    </row>
    <row r="13" spans="1:7" ht="15">
      <c r="A13" s="104">
        <f>'4. All Dept summary'!A13</f>
        <v>0</v>
      </c>
      <c r="B13" s="57">
        <f>+'3. Wages and Benefits'!AA41</f>
        <v>0</v>
      </c>
      <c r="C13" s="57">
        <f>+'2. Proposed Budget'!F42</f>
        <v>1000</v>
      </c>
      <c r="D13" s="57">
        <f>'4. All Dept summary'!D13</f>
        <v>34786</v>
      </c>
      <c r="E13" s="57">
        <f>'4. All Dept summary'!E13</f>
        <v>2000</v>
      </c>
      <c r="F13" s="57">
        <f t="shared" si="0"/>
        <v>36786</v>
      </c>
      <c r="G13" s="60">
        <f t="shared" si="1"/>
        <v>0.052294475928633524</v>
      </c>
    </row>
    <row r="14" spans="1:7" ht="15">
      <c r="A14" s="104">
        <f>'4. All Dept summary'!A14</f>
        <v>0</v>
      </c>
      <c r="B14" s="57">
        <f>+'3. Wages and Benefits'!AA42</f>
        <v>0</v>
      </c>
      <c r="C14" s="57">
        <f>+'2. Proposed Budget'!F45</f>
        <v>1000</v>
      </c>
      <c r="D14" s="57">
        <f>'4. All Dept summary'!D14</f>
        <v>185993.5</v>
      </c>
      <c r="F14" s="57">
        <f t="shared" si="0"/>
        <v>185993.5</v>
      </c>
      <c r="G14" s="60">
        <f t="shared" si="1"/>
        <v>0.2644058231020578</v>
      </c>
    </row>
    <row r="15" spans="1:7" ht="15">
      <c r="A15" s="104">
        <f>'4. All Dept summary'!A15</f>
        <v>0</v>
      </c>
      <c r="B15" s="57">
        <f>+'3. Wages and Benefits'!AA43</f>
        <v>0</v>
      </c>
      <c r="C15" s="57">
        <f>+'2. Proposed Budget'!F46</f>
        <v>1000</v>
      </c>
      <c r="D15" s="57">
        <f>'4. All Dept summary'!D15</f>
        <v>56365</v>
      </c>
      <c r="E15" s="57">
        <f>'4. All Dept summary'!E15</f>
        <v>1000</v>
      </c>
      <c r="F15" s="57">
        <f t="shared" si="0"/>
        <v>57365</v>
      </c>
      <c r="G15" s="60">
        <f t="shared" si="1"/>
        <v>0.08154930168123911</v>
      </c>
    </row>
    <row r="16" spans="1:7" ht="15">
      <c r="A16" s="104">
        <f>'4. All Dept summary'!A16</f>
        <v>0</v>
      </c>
      <c r="B16" s="57">
        <f>+'3. Wages and Benefits'!AA44</f>
        <v>0</v>
      </c>
      <c r="C16" s="57">
        <f>+'2. Proposed Budget'!F47</f>
        <v>1000</v>
      </c>
      <c r="D16" s="57">
        <f>'4. All Dept summary'!D16</f>
        <v>85553</v>
      </c>
      <c r="F16" s="57">
        <f t="shared" si="0"/>
        <v>85553</v>
      </c>
      <c r="G16" s="60">
        <f t="shared" si="1"/>
        <v>0.12162097806563323</v>
      </c>
    </row>
    <row r="17" spans="1:7" ht="15">
      <c r="A17" s="104">
        <f>'4. All Dept summary'!A17</f>
        <v>0</v>
      </c>
      <c r="B17" s="57">
        <f>+'3. Wages and Benefits'!AA45</f>
        <v>0</v>
      </c>
      <c r="C17" s="57">
        <f>+'2. Proposed Budget'!F48</f>
        <v>8000</v>
      </c>
      <c r="D17" s="57">
        <f>'4. All Dept summary'!D17</f>
        <v>1000</v>
      </c>
      <c r="E17" s="57">
        <f>'4. All Dept summary'!E17</f>
        <v>1000</v>
      </c>
      <c r="F17" s="57">
        <f t="shared" si="0"/>
        <v>2000</v>
      </c>
      <c r="G17" s="60">
        <f t="shared" si="1"/>
        <v>0.002843172724875416</v>
      </c>
    </row>
    <row r="18" spans="1:7" ht="15">
      <c r="A18" s="105" t="s">
        <v>187</v>
      </c>
      <c r="B18" s="106"/>
      <c r="C18" s="106"/>
      <c r="D18" s="106"/>
      <c r="E18" s="106">
        <f>'4. All Dept summary'!E18</f>
        <v>1000</v>
      </c>
      <c r="F18" s="106">
        <f t="shared" si="0"/>
        <v>1000</v>
      </c>
      <c r="G18" s="107">
        <f t="shared" si="1"/>
        <v>0.001421586362437708</v>
      </c>
    </row>
    <row r="19" spans="1:7" ht="15">
      <c r="A19" s="105"/>
      <c r="B19" s="108"/>
      <c r="C19" s="108"/>
      <c r="D19" s="108"/>
      <c r="E19" s="108"/>
      <c r="F19" s="108"/>
      <c r="G19" s="109"/>
    </row>
    <row r="20" spans="1:7" ht="13.5">
      <c r="A20" s="100" t="s">
        <v>263</v>
      </c>
      <c r="B20" s="98">
        <f>SUM(B8:B18)</f>
        <v>69498</v>
      </c>
      <c r="C20" s="98">
        <f>SUM(C8:C18)</f>
        <v>24000</v>
      </c>
      <c r="D20" s="98">
        <f>SUM(D8:D18)</f>
        <v>698439.5</v>
      </c>
      <c r="E20" s="98">
        <f>SUM(E8:E18)</f>
        <v>5000</v>
      </c>
      <c r="F20" s="98">
        <f>SUM(F8:F18)</f>
        <v>703439.5</v>
      </c>
      <c r="G20" s="110">
        <f>F20/F$20</f>
        <v>1</v>
      </c>
    </row>
  </sheetData>
  <sheetProtection selectLockedCells="1" selectUnlockedCells="1"/>
  <printOptions/>
  <pageMargins left="0.65" right="0.49027777777777776" top="0.9840277777777777" bottom="0.9840277777777777" header="0.5118055555555555" footer="0.5118055555555555"/>
  <pageSetup horizontalDpi="300" verticalDpi="300" orientation="portrait" scale="90"/>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11.5742187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drawing r:id="rId1"/>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ols>
    <col min="1" max="1" width="31.140625" style="100" customWidth="1"/>
    <col min="2" max="4" width="16.57421875" style="57" customWidth="1"/>
    <col min="5" max="5" width="11.28125" style="0" customWidth="1"/>
  </cols>
  <sheetData>
    <row r="1" ht="21" customHeight="1">
      <c r="A1" s="61">
        <f>'2. Proposed Budget'!B2</f>
        <v>0</v>
      </c>
    </row>
    <row r="2" ht="18">
      <c r="A2" s="61">
        <f>+'2. Proposed Budget'!B3</f>
        <v>0</v>
      </c>
    </row>
    <row r="3" ht="18">
      <c r="A3" s="1" t="s">
        <v>265</v>
      </c>
    </row>
    <row r="4" ht="18">
      <c r="A4" s="1" t="s">
        <v>266</v>
      </c>
    </row>
    <row r="5" spans="1:5" ht="15.75">
      <c r="A5" s="101"/>
      <c r="B5" s="102" t="s">
        <v>267</v>
      </c>
      <c r="C5" s="102" t="s">
        <v>257</v>
      </c>
      <c r="D5" s="102" t="s">
        <v>204</v>
      </c>
      <c r="E5" s="103" t="s">
        <v>255</v>
      </c>
    </row>
    <row r="7" spans="1:5" ht="15">
      <c r="A7" s="104">
        <f>'4. All Dept summary'!A8</f>
        <v>0</v>
      </c>
      <c r="B7" s="57">
        <f>'4. All Dept summary'!B8</f>
        <v>69498</v>
      </c>
      <c r="C7" s="57">
        <f>'4. All Dept summary'!C8</f>
        <v>10000</v>
      </c>
      <c r="D7" s="57">
        <f aca="true" t="shared" si="0" ref="D7:D16">SUM(B7:C7)</f>
        <v>79498</v>
      </c>
      <c r="E7" s="60">
        <f aca="true" t="shared" si="1" ref="E7:E16">D7/D$18</f>
        <v>0.1138223138868864</v>
      </c>
    </row>
    <row r="8" spans="1:5" ht="15">
      <c r="A8" s="104">
        <f>'4. All Dept summary'!A9</f>
        <v>0</v>
      </c>
      <c r="B8" s="57">
        <f>'4. All Dept summary'!B9</f>
        <v>106479</v>
      </c>
      <c r="C8" s="57">
        <f>'4. All Dept summary'!C9</f>
        <v>8000</v>
      </c>
      <c r="D8" s="57">
        <f t="shared" si="0"/>
        <v>114479</v>
      </c>
      <c r="E8" s="60">
        <f t="shared" si="1"/>
        <v>0.16390682371200369</v>
      </c>
    </row>
    <row r="9" spans="1:5" ht="15">
      <c r="A9" s="104">
        <f>'4. All Dept summary'!A10</f>
        <v>0</v>
      </c>
      <c r="B9" s="57">
        <f>'4. All Dept summary'!B10</f>
        <v>53539</v>
      </c>
      <c r="C9" s="57">
        <f>'4. All Dept summary'!C10</f>
        <v>16000</v>
      </c>
      <c r="D9" s="57">
        <f t="shared" si="0"/>
        <v>69539</v>
      </c>
      <c r="E9" s="60">
        <f t="shared" si="1"/>
        <v>0.0995633838006012</v>
      </c>
    </row>
    <row r="10" spans="1:5" ht="15">
      <c r="A10" s="104">
        <f>'4. All Dept summary'!A11</f>
        <v>0</v>
      </c>
      <c r="B10" s="57">
        <f>'4. All Dept summary'!B11</f>
        <v>43093</v>
      </c>
      <c r="C10" s="57">
        <f>'4. All Dept summary'!C11</f>
        <v>12000</v>
      </c>
      <c r="D10" s="57">
        <f t="shared" si="0"/>
        <v>55093</v>
      </c>
      <c r="E10" s="60">
        <f t="shared" si="1"/>
        <v>0.07888013206584106</v>
      </c>
    </row>
    <row r="11" spans="1:5" ht="15">
      <c r="A11" s="104">
        <f>'4. All Dept summary'!A12</f>
        <v>0</v>
      </c>
      <c r="B11" s="57">
        <f>'4. All Dept summary'!B12</f>
        <v>8133</v>
      </c>
      <c r="C11" s="57">
        <f>'4. All Dept summary'!C12</f>
        <v>8000</v>
      </c>
      <c r="D11" s="57">
        <f t="shared" si="0"/>
        <v>16133</v>
      </c>
      <c r="E11" s="60">
        <f t="shared" si="1"/>
        <v>0.023098636317104057</v>
      </c>
    </row>
    <row r="12" spans="1:5" ht="15">
      <c r="A12" s="104">
        <f>'4. All Dept summary'!A13</f>
        <v>0</v>
      </c>
      <c r="B12" s="57">
        <f>'4. All Dept summary'!B13</f>
        <v>21786</v>
      </c>
      <c r="C12" s="57">
        <f>'4. All Dept summary'!C13</f>
        <v>13000</v>
      </c>
      <c r="D12" s="57">
        <f t="shared" si="0"/>
        <v>34786</v>
      </c>
      <c r="E12" s="60">
        <f t="shared" si="1"/>
        <v>0.049805315993726014</v>
      </c>
    </row>
    <row r="13" spans="1:5" ht="15">
      <c r="A13" s="104">
        <f>'4. All Dept summary'!A14</f>
        <v>0</v>
      </c>
      <c r="B13" s="57">
        <f>'4. All Dept summary'!B14</f>
        <v>0</v>
      </c>
      <c r="C13" s="57">
        <f>'4. All Dept summary'!C14</f>
        <v>185993.5</v>
      </c>
      <c r="D13" s="57">
        <f t="shared" si="0"/>
        <v>185993.5</v>
      </c>
      <c r="E13" s="60">
        <f t="shared" si="1"/>
        <v>0.26629865578908407</v>
      </c>
    </row>
    <row r="14" spans="1:5" ht="15">
      <c r="A14" s="104">
        <f>'4. All Dept summary'!A15</f>
        <v>0</v>
      </c>
      <c r="B14" s="57">
        <f>'4. All Dept summary'!B15</f>
        <v>45365</v>
      </c>
      <c r="C14" s="57">
        <f>'4. All Dept summary'!C15</f>
        <v>11000</v>
      </c>
      <c r="D14" s="57">
        <f t="shared" si="0"/>
        <v>56365</v>
      </c>
      <c r="E14" s="60">
        <f t="shared" si="1"/>
        <v>0.08070133490445486</v>
      </c>
    </row>
    <row r="15" spans="1:5" ht="15">
      <c r="A15" s="104">
        <f>'4. All Dept summary'!A16</f>
        <v>0</v>
      </c>
      <c r="B15" s="57">
        <f>'4. All Dept summary'!B16</f>
        <v>70553</v>
      </c>
      <c r="C15" s="57">
        <f>'4. All Dept summary'!C16</f>
        <v>15000</v>
      </c>
      <c r="D15" s="57">
        <f t="shared" si="0"/>
        <v>85553</v>
      </c>
      <c r="E15" s="60">
        <f t="shared" si="1"/>
        <v>0.12249164029239469</v>
      </c>
    </row>
    <row r="16" spans="1:5" ht="15">
      <c r="A16" s="104">
        <f>'4. All Dept summary'!A17</f>
        <v>0</v>
      </c>
      <c r="B16" s="106">
        <f>'4. All Dept summary'!B17</f>
        <v>0</v>
      </c>
      <c r="C16" s="106">
        <f>'4. All Dept summary'!C17</f>
        <v>1000</v>
      </c>
      <c r="D16" s="106">
        <f t="shared" si="0"/>
        <v>1000</v>
      </c>
      <c r="E16" s="107">
        <f t="shared" si="1"/>
        <v>0.0014317632379039272</v>
      </c>
    </row>
    <row r="17" spans="1:5" ht="15">
      <c r="A17" s="105"/>
      <c r="B17" s="108"/>
      <c r="C17" s="108"/>
      <c r="D17" s="108"/>
      <c r="E17" s="60"/>
    </row>
    <row r="18" spans="1:5" ht="13.5">
      <c r="A18" s="100" t="s">
        <v>263</v>
      </c>
      <c r="B18" s="98">
        <f>SUM(B7:B16)</f>
        <v>418446</v>
      </c>
      <c r="C18" s="98">
        <f>SUM(C7:C16)</f>
        <v>279993.5</v>
      </c>
      <c r="D18" s="98">
        <f>SUM(D7:D16)</f>
        <v>698439.5</v>
      </c>
      <c r="E18" s="110">
        <f>D18/D$18</f>
        <v>1</v>
      </c>
    </row>
    <row r="19" ht="14.25">
      <c r="E19" s="111"/>
    </row>
    <row r="20" ht="13.5"/>
  </sheetData>
  <sheetProtection selectLockedCells="1" selectUnlockedCells="1"/>
  <printOptions/>
  <pageMargins left="0.5902777777777778" right="0.49027777777777776" top="0.9840277777777777" bottom="0.9840277777777777" header="0.5118055555555555" footer="0.5118055555555555"/>
  <pageSetup horizontalDpi="300" verticalDpi="300" orientation="portrait"/>
  <drawing r:id="rId1"/>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2.75"/>
  <cols>
    <col min="1" max="1" width="42.140625" style="100" customWidth="1"/>
    <col min="2" max="2" width="26.7109375" style="57" customWidth="1"/>
    <col min="3" max="3" width="19.00390625" style="0" customWidth="1"/>
  </cols>
  <sheetData>
    <row r="1" ht="18">
      <c r="A1" s="61">
        <f>'2. Proposed Budget'!B2</f>
        <v>0</v>
      </c>
    </row>
    <row r="2" ht="18">
      <c r="A2" s="61">
        <f>+'2. Proposed Budget'!B3</f>
        <v>0</v>
      </c>
    </row>
    <row r="3" ht="18">
      <c r="A3" s="1" t="s">
        <v>265</v>
      </c>
    </row>
    <row r="4" ht="18">
      <c r="A4" s="1" t="s">
        <v>266</v>
      </c>
    </row>
    <row r="5" spans="1:3" ht="15.75">
      <c r="A5" s="101"/>
      <c r="B5" s="102" t="s">
        <v>204</v>
      </c>
      <c r="C5" s="103" t="s">
        <v>255</v>
      </c>
    </row>
    <row r="7" spans="1:3" ht="15">
      <c r="A7" s="104">
        <f>+'4. All Dept summary'!A8</f>
        <v>0</v>
      </c>
      <c r="B7" s="57">
        <f>'4. All Dept summary'!D8</f>
        <v>79498</v>
      </c>
      <c r="C7" s="60">
        <f aca="true" t="shared" si="0" ref="C7:C16">B7/B$18</f>
        <v>0.1138223138868864</v>
      </c>
    </row>
    <row r="8" spans="1:3" ht="15">
      <c r="A8" s="104">
        <f>+'4. All Dept summary'!A9</f>
        <v>0</v>
      </c>
      <c r="B8" s="57">
        <f>'4. All Dept summary'!D9</f>
        <v>114479</v>
      </c>
      <c r="C8" s="60">
        <f t="shared" si="0"/>
        <v>0.16390682371200369</v>
      </c>
    </row>
    <row r="9" spans="1:3" ht="15">
      <c r="A9" s="104">
        <f>+'4. All Dept summary'!A10</f>
        <v>0</v>
      </c>
      <c r="B9" s="57">
        <f>'4. All Dept summary'!D10</f>
        <v>69539</v>
      </c>
      <c r="C9" s="60">
        <f t="shared" si="0"/>
        <v>0.0995633838006012</v>
      </c>
    </row>
    <row r="10" spans="1:3" ht="15">
      <c r="A10" s="104">
        <f>+'4. All Dept summary'!A11</f>
        <v>0</v>
      </c>
      <c r="B10" s="57">
        <f>'4. All Dept summary'!D11</f>
        <v>55093</v>
      </c>
      <c r="C10" s="60">
        <f t="shared" si="0"/>
        <v>0.07888013206584106</v>
      </c>
    </row>
    <row r="11" spans="1:3" ht="15">
      <c r="A11" s="104">
        <f>+'4. All Dept summary'!A12</f>
        <v>0</v>
      </c>
      <c r="B11" s="57">
        <f>'4. All Dept summary'!D12</f>
        <v>16133</v>
      </c>
      <c r="C11" s="60">
        <f t="shared" si="0"/>
        <v>0.023098636317104057</v>
      </c>
    </row>
    <row r="12" spans="1:3" ht="15">
      <c r="A12" s="104">
        <f>+'4. All Dept summary'!A13</f>
        <v>0</v>
      </c>
      <c r="B12" s="57">
        <f>'4. All Dept summary'!D13</f>
        <v>34786</v>
      </c>
      <c r="C12" s="60">
        <f t="shared" si="0"/>
        <v>0.049805315993726014</v>
      </c>
    </row>
    <row r="13" spans="1:3" ht="15">
      <c r="A13" s="104">
        <f>+'4. All Dept summary'!A14</f>
        <v>0</v>
      </c>
      <c r="B13" s="57">
        <f>'4. All Dept summary'!D14</f>
        <v>185993.5</v>
      </c>
      <c r="C13" s="60">
        <f t="shared" si="0"/>
        <v>0.26629865578908407</v>
      </c>
    </row>
    <row r="14" spans="1:3" ht="15">
      <c r="A14" s="104">
        <f>+'4. All Dept summary'!A15</f>
        <v>0</v>
      </c>
      <c r="B14" s="57">
        <f>'4. All Dept summary'!D15</f>
        <v>56365</v>
      </c>
      <c r="C14" s="60">
        <f t="shared" si="0"/>
        <v>0.08070133490445486</v>
      </c>
    </row>
    <row r="15" spans="1:3" ht="15">
      <c r="A15" s="104">
        <f>+'4. All Dept summary'!A16</f>
        <v>0</v>
      </c>
      <c r="B15" s="57">
        <f>'4. All Dept summary'!D16</f>
        <v>85553</v>
      </c>
      <c r="C15" s="60">
        <f t="shared" si="0"/>
        <v>0.12249164029239469</v>
      </c>
    </row>
    <row r="16" spans="1:3" ht="15">
      <c r="A16" s="104">
        <f>+'4. All Dept summary'!A17</f>
        <v>0</v>
      </c>
      <c r="B16" s="106">
        <f>'4. All Dept summary'!D17</f>
        <v>1000</v>
      </c>
      <c r="C16" s="107">
        <f t="shared" si="0"/>
        <v>0.0014317632379039272</v>
      </c>
    </row>
    <row r="17" spans="1:3" ht="15">
      <c r="A17" s="105"/>
      <c r="B17" s="108"/>
      <c r="C17" s="60"/>
    </row>
    <row r="18" spans="1:3" ht="13.5">
      <c r="A18" s="100" t="s">
        <v>263</v>
      </c>
      <c r="B18" s="98">
        <f>SUM(B7:B16)</f>
        <v>698439.5</v>
      </c>
      <c r="C18" s="110">
        <f>B18/B$18</f>
        <v>1</v>
      </c>
    </row>
    <row r="19" ht="14.25">
      <c r="C19" s="111"/>
    </row>
    <row r="20" ht="13.5"/>
  </sheetData>
  <sheetProtection selectLockedCells="1" selectUnlockedCells="1"/>
  <printOptions/>
  <pageMargins left="0.5902777777777778" right="0.49027777777777776" top="0.9840277777777777" bottom="0.9840277777777777"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DeYoung</dc:creator>
  <cp:keywords/>
  <dc:description/>
  <cp:lastModifiedBy/>
  <cp:lastPrinted>2005-02-01T17:37:58Z</cp:lastPrinted>
  <dcterms:created xsi:type="dcterms:W3CDTF">2000-10-20T12:13:59Z</dcterms:created>
  <dcterms:modified xsi:type="dcterms:W3CDTF">2016-01-08T05:31:01Z</dcterms:modified>
  <cp:category/>
  <cp:version/>
  <cp:contentType/>
  <cp:contentStatus/>
  <cp:revision>1</cp:revision>
</cp:coreProperties>
</file>