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6750" activeTab="0"/>
  </bookViews>
  <sheets>
    <sheet name="Disclaimer" sheetId="1" r:id="rId1"/>
    <sheet name="P&amp;L" sheetId="2" r:id="rId2"/>
    <sheet name="Initial capital &amp; Payback" sheetId="3" r:id="rId3"/>
    <sheet name="BS" sheetId="4" r:id="rId4"/>
    <sheet name="Notes" sheetId="5" r:id="rId5"/>
  </sheets>
  <definedNames>
    <definedName name="Z_41D7F28F_7784_4B5B_B698_7E651D46EA8C_.wvu.Rows" localSheetId="3" hidden="1">'BS'!$29:$30</definedName>
    <definedName name="Z_41D7F28F_7784_4B5B_B698_7E651D46EA8C_.wvu.Rows" localSheetId="1" hidden="1">'P&amp;L'!$45:$45</definedName>
  </definedNames>
  <calcPr fullCalcOnLoad="1"/>
</workbook>
</file>

<file path=xl/comments2.xml><?xml version="1.0" encoding="utf-8"?>
<comments xmlns="http://schemas.openxmlformats.org/spreadsheetml/2006/main">
  <authors>
    <author>Khao Sonia</author>
  </authors>
  <commentList>
    <comment ref="C26" authorId="0">
      <text>
        <r>
          <rPr>
            <sz val="9"/>
            <rFont val="新細明體"/>
            <family val="1"/>
          </rPr>
          <t xml:space="preserve">Note: Due to the limitation of circular formula in the worksheet, SMEs need to input the interest calculated in the row "Calculation of interest" provided.
</t>
        </r>
      </text>
    </comment>
    <comment ref="A7" authorId="0">
      <text>
        <r>
          <rPr>
            <sz val="9"/>
            <rFont val="新細明體"/>
            <family val="1"/>
          </rPr>
          <t>An enterprise's earning capacity can be limited by its fixed assets such as machinery.  For instance, an eatery's operating capacity is limited by its space and the number of tables available.  However, this worksheet is also applicable to businesses which are not limited by fixed assets, such as boutiques.  A boutique's capacity constraint is the estimated number of customers who will spend in the boutique.</t>
        </r>
      </text>
    </comment>
    <comment ref="A8" authorId="0">
      <text>
        <r>
          <rPr>
            <sz val="9"/>
            <rFont val="新細明體"/>
            <family val="1"/>
          </rPr>
          <t>Average price refers to the anticipated sales value of one transaction,  e.g. the average amount spent by a customer in the eatery, or the average value of an order for a trading company.</t>
        </r>
      </text>
    </comment>
    <comment ref="A9" authorId="0">
      <text>
        <r>
          <rPr>
            <sz val="9"/>
            <rFont val="新細明體"/>
            <family val="1"/>
          </rPr>
          <t xml:space="preserve">An asset for production can be used repeatedly.  For instance, each table in the small eatery can be used by different customers for several times during a day.  Turnover refers to the number of times each table is used in one day.  For a boutique, turnover simply refers to the number of days when the boutique is open for business during a year.
</t>
        </r>
      </text>
    </comment>
    <comment ref="A12" authorId="0">
      <text>
        <r>
          <rPr>
            <sz val="9"/>
            <rFont val="新細明體"/>
            <family val="1"/>
          </rPr>
          <t xml:space="preserve">Gross profit is total sales less direct expenses.  Direct expenses can simply be assumed to be the costs of direct materials used such as the ingredients of a bowl of wonton noodle.  Hence, the gross profit of selling a bowl of wonton noodle is the price of the bowl of noodle less the costs of the ingredients.  SMEs only need to assume a gross profit margin in this worksheet, the amount of gross profit will be derived.  SMEs can also try to assume different gross profit margins to figure out the impact on the net profit (note 12).
</t>
        </r>
      </text>
    </comment>
    <comment ref="A24" authorId="0">
      <text>
        <r>
          <rPr>
            <sz val="9"/>
            <rFont val="新細明體"/>
            <family val="1"/>
          </rPr>
          <t xml:space="preserve">Depreciation is the cost of fixed assets amortised over the assets useful live.
</t>
        </r>
      </text>
    </comment>
    <comment ref="A18" authorId="0">
      <text>
        <r>
          <rPr>
            <sz val="9"/>
            <rFont val="新細明體"/>
            <family val="1"/>
          </rPr>
          <t>This includes transportation expenses, entertainment expenses, etc.  Although each item included in the miscellaneous item does not appear to be material, the total amount when all items are added could be significant.  SMEs can estimate the amount by referring to the actual situation or by calculating the amount based on a certain percentage of the total expenses.</t>
        </r>
      </text>
    </comment>
    <comment ref="A19" authorId="0">
      <text>
        <r>
          <rPr>
            <sz val="9"/>
            <rFont val="新細明體"/>
            <family val="1"/>
          </rPr>
          <t xml:space="preserve">SMEs should consider other major expenses apart from salaries and rent, such as licence fee, business registration fee, consultancy fee, promotional expenses, etc.
</t>
        </r>
      </text>
    </comment>
    <comment ref="A21" authorId="0">
      <text>
        <r>
          <rPr>
            <sz val="9"/>
            <rFont val="新細明體"/>
            <family val="1"/>
          </rPr>
          <t>SMEs may need professional advice upon starting up their business.  This expense depends on individual SME's needs.</t>
        </r>
      </text>
    </comment>
    <comment ref="A26" authorId="0">
      <text>
        <r>
          <rPr>
            <sz val="9"/>
            <rFont val="新細明體"/>
            <family val="1"/>
          </rPr>
          <t>Interest expense is a finance cost.  If an SME has adequate capital, borrowing could be avoided to minimise the finance cost.  However, a healthy level of borrowing (debt to asset ratio or leverage ratio) could help an SME managing its fund more efficiently.  Though SMEs should carefully consider their repayment capability when deciding on the level of borrowing.</t>
        </r>
      </text>
    </comment>
    <comment ref="A28" authorId="0">
      <text>
        <r>
          <rPr>
            <sz val="9"/>
            <rFont val="新細明體"/>
            <family val="1"/>
          </rPr>
          <t xml:space="preserve">The profits tax rate for the year of assessment 2006/07 is 17.5%.  If an SME has an overseas operation, it should consider the overseas tax rate as well as how tax is calculated in that particular place.
</t>
        </r>
      </text>
    </comment>
    <comment ref="A37" authorId="0">
      <text>
        <r>
          <rPr>
            <sz val="9"/>
            <rFont val="新細明體"/>
            <family val="1"/>
          </rPr>
          <t>Gross profit margin is the ratio of gross profit (sales less direct expenses) and sales.  An SME can assume the gross profit margin as a margin over the cost of direct materials.  Gross profit margin is a very important element in the negotiation with suppliers and in the pricing of a product.  If an SME does not have a clear picture of the best gross profit margin of its products, it can assume various gross profit margins to assess the impact on the profit figure.</t>
        </r>
      </text>
    </comment>
    <comment ref="A38" authorId="0">
      <text>
        <r>
          <rPr>
            <sz val="9"/>
            <rFont val="新細明體"/>
            <family val="1"/>
          </rPr>
          <t>It refers to the ratio of profit before interest and tax to sales.  SMEs can make a comparison of this ratio with other businesses of the same nature in the market to assess its profitability.</t>
        </r>
        <r>
          <rPr>
            <b/>
            <sz val="9"/>
            <rFont val="新細明體"/>
            <family val="1"/>
          </rPr>
          <t xml:space="preserve">
</t>
        </r>
        <r>
          <rPr>
            <sz val="9"/>
            <rFont val="新細明體"/>
            <family val="1"/>
          </rPr>
          <t xml:space="preserve">
</t>
        </r>
      </text>
    </comment>
    <comment ref="A39" authorId="0">
      <text>
        <r>
          <rPr>
            <sz val="9"/>
            <rFont val="新細明體"/>
            <family val="1"/>
          </rPr>
          <t>It is the ratio of profit before tax to the total investment amount.</t>
        </r>
      </text>
    </comment>
    <comment ref="A40" authorId="0">
      <text>
        <r>
          <rPr>
            <sz val="9"/>
            <rFont val="新細明體"/>
            <family val="1"/>
          </rPr>
          <t>It is the ratio of profit after tax to the capital inserted by the SME.</t>
        </r>
      </text>
    </comment>
    <comment ref="A41" authorId="0">
      <text>
        <r>
          <rPr>
            <sz val="9"/>
            <rFont val="新細明體"/>
            <family val="1"/>
          </rPr>
          <t>Interest rate is the cost of borrowing, which can be floating or fixed depending on the terms of the contract.  SMEs should be aware of the interest rate trend to avoid unnecessary costs.  If the return on investment is higher than the cost of borrowing, SMEs can consider borrowings with consideration of other fees and costs incurred and the risk of the investment.</t>
        </r>
        <r>
          <rPr>
            <b/>
            <sz val="9"/>
            <rFont val="新細明體"/>
            <family val="1"/>
          </rPr>
          <t xml:space="preserve">
</t>
        </r>
      </text>
    </comment>
    <comment ref="A43" authorId="0">
      <text>
        <r>
          <rPr>
            <sz val="9"/>
            <rFont val="新細明體"/>
            <family val="1"/>
          </rPr>
          <t>Note: Due to the limitation of circular formula in the worksheet, SMEs need to input the interest calculated in the row "Calculation of interest" provided.</t>
        </r>
      </text>
    </comment>
    <comment ref="C7" authorId="0">
      <text>
        <r>
          <rPr>
            <i/>
            <sz val="9"/>
            <rFont val="新細明體"/>
            <family val="1"/>
          </rPr>
          <t>Assuming an SME is operating a small eatery.  There are a total of 22 tables and each table can accommodate 4 persons.  Its capacity constraint is therefore 88 seats.</t>
        </r>
        <r>
          <rPr>
            <sz val="9"/>
            <rFont val="新細明體"/>
            <family val="1"/>
          </rPr>
          <t xml:space="preserve">
</t>
        </r>
      </text>
    </comment>
    <comment ref="C8" authorId="0">
      <text>
        <r>
          <rPr>
            <i/>
            <sz val="9"/>
            <rFont val="新細明體"/>
            <family val="1"/>
          </rPr>
          <t xml:space="preserve">Assuming the average spending of a customer is $35.
</t>
        </r>
      </text>
    </comment>
    <comment ref="C9" authorId="0">
      <text>
        <r>
          <rPr>
            <i/>
            <sz val="9"/>
            <rFont val="新細明體"/>
            <family val="1"/>
          </rPr>
          <t>Assuming a table in the eatery can be used repeatedly.  Breakfast is from 7:00am to 10:00am, a total of 3 hours.  Lunch hour is from 12:00noon to 2:00pm, a total of 2 hours.  Tea time is from 3:00pm to 5:00pm, a total of 2 hours.  Dinner is from 6:00pm to 9:00pm, a total of 3 hours.  Night meal is from 9:00pm to 11:00pm, a total of 2 hours.  There are a total of 12 hours during which a seat can be occupied.  Assuming each customer stays for an average of 1.5 hours, and there are 30 days in 1 month, each seat can therefore be used for 2,880 times during a year.</t>
        </r>
      </text>
    </comment>
    <comment ref="C15" authorId="0">
      <text>
        <r>
          <rPr>
            <i/>
            <sz val="9"/>
            <rFont val="新細明體"/>
            <family val="1"/>
          </rPr>
          <t xml:space="preserve">Assuming that there are a total of 16 staff members, viz. 6 waiters, 2 responsible for drinks and beverages, 2 working in the kitchen, 2 cleaners, 2 handling the take-away, one cashier and the owner, and the average monthly salary per person is $10,000, the total amount of salaries will be $160,000 each month, and $1,920,000 each year.       </t>
        </r>
      </text>
    </comment>
    <comment ref="C16" authorId="0">
      <text>
        <r>
          <rPr>
            <i/>
            <sz val="9"/>
            <rFont val="新細明體"/>
            <family val="1"/>
          </rPr>
          <t>Assuming that the small eatery is located in Tsimshatsui which occupies 3,000 sq ft, and the rent is $40 per sq ft, monthly rental will be $120,000, and the yearly rental will be $1,440,000.</t>
        </r>
        <r>
          <rPr>
            <sz val="9"/>
            <rFont val="新細明體"/>
            <family val="1"/>
          </rPr>
          <t xml:space="preserve">
</t>
        </r>
      </text>
    </comment>
    <comment ref="C17" authorId="0">
      <text>
        <r>
          <rPr>
            <i/>
            <sz val="9"/>
            <rFont val="新細明體"/>
            <family val="1"/>
          </rPr>
          <t>Assuming that the utilities expense amounts to $20,000 every month, the total utilities expense for one year will be $240,000.</t>
        </r>
      </text>
    </comment>
    <comment ref="C18" authorId="0">
      <text>
        <r>
          <rPr>
            <i/>
            <sz val="9"/>
            <rFont val="新細明體"/>
            <family val="1"/>
          </rPr>
          <t>Assuming miscellaneous expense amounts to 5% of the recurrent expenditure.</t>
        </r>
      </text>
    </comment>
    <comment ref="C20" authorId="0">
      <text>
        <r>
          <rPr>
            <i/>
            <sz val="9"/>
            <rFont val="新細明體"/>
            <family val="1"/>
          </rPr>
          <t>Assuming the commission to the property agent amounts to half of the monthly rental, and this expense is only incurred in the first year.</t>
        </r>
      </text>
    </comment>
    <comment ref="C21" authorId="0">
      <text>
        <r>
          <rPr>
            <i/>
            <sz val="9"/>
            <rFont val="新細明體"/>
            <family val="1"/>
          </rPr>
          <t>Assuming consultancy fee upon the start-up of business is $30,000.</t>
        </r>
      </text>
    </comment>
    <comment ref="C23" authorId="0">
      <text>
        <r>
          <rPr>
            <i/>
            <sz val="9"/>
            <rFont val="新細明體"/>
            <family val="1"/>
          </rPr>
          <t>Business registration fee for one year is $2,600, whilst company registration fee is $1,720.  Assuming a lawyer or an accountant is entrusted to deal with these registrations, the fee incurred will be around $7,500.</t>
        </r>
      </text>
    </comment>
    <comment ref="C41" authorId="0">
      <text>
        <r>
          <rPr>
            <i/>
            <sz val="9"/>
            <rFont val="新細明體"/>
            <family val="1"/>
          </rPr>
          <t>Assuming interest rate is 10%.</t>
        </r>
      </text>
    </comment>
    <comment ref="A14" authorId="0">
      <text>
        <r>
          <rPr>
            <sz val="9"/>
            <rFont val="新細明體"/>
            <family val="1"/>
          </rPr>
          <t>Recurrent expenditure is expenses incurred for normal operating activities, such as rent and salaries.</t>
        </r>
      </text>
    </comment>
  </commentList>
</comments>
</file>

<file path=xl/comments3.xml><?xml version="1.0" encoding="utf-8"?>
<comments xmlns="http://schemas.openxmlformats.org/spreadsheetml/2006/main">
  <authors>
    <author>Khao Sonia</author>
    <author>WK_LEE</author>
  </authors>
  <commentList>
    <comment ref="A22" authorId="0">
      <text>
        <r>
          <rPr>
            <sz val="9"/>
            <rFont val="新細明體"/>
            <family val="1"/>
          </rPr>
          <t xml:space="preserve">An SME needs to consider how much fund is required for its business operation.
</t>
        </r>
      </text>
    </comment>
    <comment ref="A29" authorId="0">
      <text>
        <r>
          <rPr>
            <sz val="9"/>
            <rFont val="新細明體"/>
            <family val="1"/>
          </rPr>
          <t xml:space="preserve">Payback period means how long an SME requires to get back the amount of investment.  In practice, cash flow is required to calculate the payback period.  To simplify the calculation in this worksheet, the amount of profit after tax with an adjustment of depreciation is used.
</t>
        </r>
      </text>
    </comment>
    <comment ref="B23" authorId="1">
      <text>
        <r>
          <rPr>
            <i/>
            <sz val="9"/>
            <rFont val="新細明體"/>
            <family val="1"/>
          </rPr>
          <t>Given that the main stock item of an eatery is food, the period of stock turnover should not be long.  In this illustration, it is assumed that the number of stock turnover days is 30 days.</t>
        </r>
        <r>
          <rPr>
            <sz val="9"/>
            <rFont val="新細明體"/>
            <family val="1"/>
          </rPr>
          <t xml:space="preserve">
</t>
        </r>
      </text>
    </comment>
    <comment ref="B24" authorId="1">
      <text>
        <r>
          <rPr>
            <i/>
            <sz val="9"/>
            <rFont val="新細明體"/>
            <family val="1"/>
          </rPr>
          <t>Assuming cash for 1 month's operating expenditure will be kept.</t>
        </r>
      </text>
    </comment>
    <comment ref="A5" authorId="0">
      <text>
        <r>
          <rPr>
            <sz val="9"/>
            <rFont val="新細明體"/>
            <family val="1"/>
          </rPr>
          <t>Costs for fixed and long term assets have to be incurred upon start-up of a business regardless of the SME's operation level.</t>
        </r>
      </text>
    </comment>
    <comment ref="D26" authorId="0">
      <text>
        <r>
          <rPr>
            <sz val="9"/>
            <rFont val="新細明體"/>
            <family val="1"/>
          </rPr>
          <t>An SME should consider the funds he / she can use in the business.  If the SME does not have adequate funds and borrowing is required,  it should then carefully consider all the costs involved in borrowing such as interest expenses.</t>
        </r>
      </text>
    </comment>
    <comment ref="E3" authorId="0">
      <text>
        <r>
          <rPr>
            <sz val="9"/>
            <rFont val="新細明體"/>
            <family val="1"/>
          </rPr>
          <t xml:space="preserve">SMEs can determine the depreciation period based on the useful live of an asset.  For instance, an SME can refer to the lease period to determine the depreciation period for decoration.
</t>
        </r>
      </text>
    </comment>
    <comment ref="A23" authorId="0">
      <text>
        <r>
          <rPr>
            <sz val="9"/>
            <rFont val="新細明體"/>
            <family val="1"/>
          </rPr>
          <t>Day of stock turnover represents how long the stock is kept.  The longer the period, the more the stock an SME is keeping.  This may lead to stock obsolence and result in loss.</t>
        </r>
      </text>
    </comment>
    <comment ref="E6" authorId="0">
      <text>
        <r>
          <rPr>
            <sz val="9"/>
            <rFont val="新細明體"/>
            <family val="1"/>
          </rPr>
          <t>Assuming the lease term of the eatery is 5 years.</t>
        </r>
      </text>
    </comment>
    <comment ref="E40" authorId="0">
      <text>
        <r>
          <rPr>
            <i/>
            <sz val="9"/>
            <rFont val="新細明體"/>
            <family val="1"/>
          </rPr>
          <t>This means that the SME needs approximately more than 1 year to get back the initial capital paid.  If this figure is negative, this means that the SMEs does not generate any profits and the payback period cannot be determined.</t>
        </r>
        <r>
          <rPr>
            <sz val="9"/>
            <rFont val="新細明體"/>
            <family val="1"/>
          </rPr>
          <t xml:space="preserve">
</t>
        </r>
      </text>
    </comment>
    <comment ref="I40" authorId="0">
      <text>
        <r>
          <rPr>
            <i/>
            <sz val="9"/>
            <rFont val="新細明體"/>
            <family val="1"/>
          </rPr>
          <t>As a negative figure appears, the SMEs does not have any profits to determine the payback period.</t>
        </r>
      </text>
    </comment>
  </commentList>
</comments>
</file>

<file path=xl/comments4.xml><?xml version="1.0" encoding="utf-8"?>
<comments xmlns="http://schemas.openxmlformats.org/spreadsheetml/2006/main">
  <authors>
    <author>Khao Sonia</author>
  </authors>
  <commentList>
    <comment ref="A6" authorId="0">
      <text>
        <r>
          <rPr>
            <sz val="9"/>
            <rFont val="新細明體"/>
            <family val="1"/>
          </rPr>
          <t>Fixed assets are assets which bring economic benefits to a business over one year.  Long term assets include rental deposits and other deposits.  Long term assets require support from SMEs' fund, as is the case for fixed assets.</t>
        </r>
      </text>
    </comment>
    <comment ref="A15" authorId="0">
      <text>
        <r>
          <rPr>
            <sz val="9"/>
            <rFont val="新細明體"/>
            <family val="1"/>
          </rPr>
          <t>SMEs need to consider various factors, such as the business status and customers' needs, to determine the stock level.  But in order to minimise the cost of stocking, it should avoid keeping perishable or obsolete goods.  In general, SMEs should maintain a stock level which could meet at least three months' sales.</t>
        </r>
      </text>
    </comment>
    <comment ref="A16" authorId="0">
      <text>
        <r>
          <rPr>
            <sz val="9"/>
            <rFont val="新細明體"/>
            <family val="1"/>
          </rPr>
          <t>In general, SMEs should keep account receivables less than three months' sales in order to avoid sharing customers' financing costs, as well as to avoid bad debt.  SMEs involving in small businesses, such as boutiques, should maintain its account receivables at the lowest level.  Assuming an SME gives its customers a credit period of 90 days, the number of account receivable turnover day is 90.</t>
        </r>
      </text>
    </comment>
    <comment ref="A17" authorId="0">
      <text>
        <r>
          <rPr>
            <sz val="9"/>
            <rFont val="新細明體"/>
            <family val="1"/>
          </rPr>
          <t>Cash which is not used for production should be kept to a minimum level.  Cash should only be kept for anticipated settlement of account payables and bank loans.  SMEs should also keep sufficient fund for one month's operating activities.  If an SME has operations overseas, the fluctuation of the exchange rates, long holidays, the exchange controls and currency circulation status of various places should be taken into consideration.</t>
        </r>
      </text>
    </comment>
    <comment ref="A20" authorId="0">
      <text>
        <r>
          <rPr>
            <sz val="9"/>
            <rFont val="新細明體"/>
            <family val="1"/>
          </rPr>
          <t>This amount represents that the SME generates an operating profit, which is reflected in the value of various assets, such as cash or stock.</t>
        </r>
      </text>
    </comment>
    <comment ref="A25" authorId="0">
      <text>
        <r>
          <rPr>
            <sz val="9"/>
            <rFont val="新細明體"/>
            <family val="1"/>
          </rPr>
          <t>The optimal way to settle creditors is by account settlement.  SMEs can also consider bank borrowings, but need to consider the interest expenses.</t>
        </r>
        <r>
          <rPr>
            <b/>
            <sz val="9"/>
            <rFont val="新細明體"/>
            <family val="1"/>
          </rPr>
          <t xml:space="preserve">
</t>
        </r>
      </text>
    </comment>
    <comment ref="A31" authorId="0">
      <text>
        <r>
          <rPr>
            <sz val="9"/>
            <rFont val="新細明體"/>
            <family val="1"/>
          </rPr>
          <t>SMEs need operating fund to support daily activities, including maintaining current assets and current liabilities.  Holding excessive long term assets will tie up the funds, increases financing costs and lowers its profitability.</t>
        </r>
        <r>
          <rPr>
            <b/>
            <sz val="9"/>
            <rFont val="新細明體"/>
            <family val="1"/>
          </rPr>
          <t xml:space="preserve">
</t>
        </r>
      </text>
    </comment>
    <comment ref="A39" authorId="0">
      <text>
        <r>
          <rPr>
            <sz val="9"/>
            <rFont val="新細明體"/>
            <family val="1"/>
          </rPr>
          <t>Loans can be short term or long term.  Short term loans which are repayable within one year belong to current liabilities.  Loan with repayment period longer than one year is long term loan.  Long term loan is usually classified as sources of finance.</t>
        </r>
      </text>
    </comment>
    <comment ref="A46" authorId="0">
      <text>
        <r>
          <rPr>
            <sz val="9"/>
            <rFont val="新細明體"/>
            <family val="1"/>
          </rPr>
          <t>Day of stock turnover represents how long the stock is kept.  The longer the period, the more the stock an SME is keeping.  This may lead to stock obsolence and result in loss.</t>
        </r>
      </text>
    </comment>
    <comment ref="A47" authorId="0">
      <text>
        <r>
          <rPr>
            <sz val="9"/>
            <rFont val="新細明體"/>
            <family val="1"/>
          </rPr>
          <t>In general, SMEs should keep account receivables less than three months' sales in order to avoid sharing customers' financing costs, as well as to avoid bad debt.  SMEs involving in small businesses, such as boutiques, should maintain its account receivables at the lowest level.  Assuming an SME gives its customers a credit period of 90 days, the day of account receivable turnover is 90.</t>
        </r>
      </text>
    </comment>
    <comment ref="A48" authorId="0">
      <text>
        <r>
          <rPr>
            <sz val="9"/>
            <rFont val="新細明體"/>
            <family val="1"/>
          </rPr>
          <t>The optimal way to settle creditors is by account settlement.  SMEs can also consider bank borrowings, but need to consider the interest expenses.</t>
        </r>
      </text>
    </comment>
    <comment ref="A49" authorId="0">
      <text>
        <r>
          <rPr>
            <sz val="9"/>
            <rFont val="新細明體"/>
            <family val="1"/>
          </rPr>
          <t>Liquidity ratio is the ratio of current assets to current liabilities.  A healthy ratio should not be less than 1.</t>
        </r>
      </text>
    </comment>
    <comment ref="A50" authorId="0">
      <text>
        <r>
          <rPr>
            <sz val="9"/>
            <rFont val="新細明體"/>
            <family val="1"/>
          </rPr>
          <t>Leverage is the ratio of an SME's borrowings to its net assets.</t>
        </r>
      </text>
    </comment>
    <comment ref="D7" authorId="0">
      <text>
        <r>
          <rPr>
            <i/>
            <sz val="9"/>
            <rFont val="新細明體"/>
            <family val="1"/>
          </rPr>
          <t>Assuming cost of the decoration is $2,000,000.  $1,600,000 is the amount net of depreciation.</t>
        </r>
      </text>
    </comment>
    <comment ref="D16" authorId="0">
      <text>
        <r>
          <rPr>
            <i/>
            <sz val="9"/>
            <rFont val="新細明體"/>
            <family val="1"/>
          </rPr>
          <t>Given that transactions in the small eatery are generally cash transactions, and credit period for customers is rare, the number of account receivables turnover day is assumed to be 0 and account receivable is also 0.</t>
        </r>
      </text>
    </comment>
    <comment ref="D25" authorId="0">
      <text>
        <r>
          <rPr>
            <i/>
            <sz val="9"/>
            <rFont val="新細明體"/>
            <family val="1"/>
          </rPr>
          <t>Assuming a credit period of one month is given by the creditors, the amount of account payable is calculated by the account payable turnover of 30 days.</t>
        </r>
      </text>
    </comment>
    <comment ref="D47" authorId="0">
      <text>
        <r>
          <rPr>
            <i/>
            <sz val="9"/>
            <rFont val="新細明體"/>
            <family val="1"/>
          </rPr>
          <t>Given that transactions in the small eatery are generally cash transactions, and credit period for customers is rare, the number of account receivables turnover day is assumed to be 0 and account receivable is also 0.</t>
        </r>
      </text>
    </comment>
    <comment ref="D48" authorId="0">
      <text>
        <r>
          <rPr>
            <i/>
            <sz val="9"/>
            <rFont val="新細明體"/>
            <family val="1"/>
          </rPr>
          <t>Assuming a credit period of one month is given by the creditors, the amount of account payable is calculated by the account payable turnover of 30 days.</t>
        </r>
      </text>
    </comment>
    <comment ref="D46" authorId="0">
      <text>
        <r>
          <rPr>
            <i/>
            <sz val="9"/>
            <rFont val="新細明體"/>
            <family val="1"/>
          </rPr>
          <t>Given that the main stock item of an eatery is food, the period of stock turnover should not be long.  In this illustration, it is assumed that the number of stock turnover days is 30 days.</t>
        </r>
      </text>
    </comment>
  </commentList>
</comments>
</file>

<file path=xl/sharedStrings.xml><?xml version="1.0" encoding="utf-8"?>
<sst xmlns="http://schemas.openxmlformats.org/spreadsheetml/2006/main" count="220" uniqueCount="168">
  <si>
    <t>This worksheet aims at helping SMEs in understanding the capital needs upon starting up a business and briefly anticipating the financial position of the business under different scenarios.  As a number of assumptions and estimates are involved in this worksheet,  SMEs should obtain a fundamental understanding on the type of business they would like to start before using it.</t>
  </si>
  <si>
    <t>An enterprise's earning capacity can be limited by its fixed assets such as machinery.  For instance, an eatery's operating capacity is limited by its space and the number of tables available.  However, this worksheet is also applicable to businesses which are not limited by fixed assets, such as boutiques.  A boutique's capacity constraint is the estimated number of customers who will spend in the boutique.</t>
  </si>
  <si>
    <t>Average price refers to the anticipated sales value of one transaction,  e.g. the average amount spent by a customer in the eatery, or the average value of an order for a trading company.</t>
  </si>
  <si>
    <t>An asset for production can be used repeatedly.  For instance, each table in the small eatery can be used by different customers for several times during a day.  Turnover refers to the number of times each table is used in one day.  For a boutique, turnover simply refers to the number of days when the boutique is open for business during a year.</t>
  </si>
  <si>
    <t>Gross profit is total sales less direct expenses.  Direct expenses can simply be assumed to be the costs of direct materials used such as the ingredients of a bowl of wonton noodle.  Hence, the gross profit of selling a bowl of wonton noodle is the price of the bowl of noodle less the costs of the ingredients.  SMEs only need to assume a gross profit margin in this worksheet, the amount of gross profit will be derived.  SMEs can also try to assume different gross profit margins to figure out the impact on the net profit (note 12).</t>
  </si>
  <si>
    <t>Recurrent expenditure is expenses incurred for normal operating activities, such as rent and salaries.</t>
  </si>
  <si>
    <t>This includes transportation expenses, entertainment expenses, etc.  Although each item included in the miscellaneous item does not appear to be material, the total amount when all items are added could be significant.  SMEs can estimate the amount by referring to the actual situation or by calculating the amount based on a certain percentage of the total expenses.</t>
  </si>
  <si>
    <t>SMEs should consider other major expenses apart from salaries and rent, such as licence fee, business registration fee, consultancy fee, promotional expenses, etc.</t>
  </si>
  <si>
    <t>SMEs may need professional advice upon starting up their business.  This expense depends on individual SME's needs.</t>
  </si>
  <si>
    <t>Depreciation is the cost of fixed assets amortised over the assets useful live.</t>
  </si>
  <si>
    <t>Interest expense is a finance cost.  If an SME has adequate capital, borrowing could be avoided to minimise the finance cost.  However, a healthy level of borrowing (debt to asset ratio or leverage ratio) could help an SME managing its fund more efficiently.  Though SMEs should carefully consider their repayment capability when deciding on the level of borrowing.</t>
  </si>
  <si>
    <t>Note: Due to the limitation of circular formula in the worksheet, SMEs need to input the interest calculated in the row "calculation of interest" provided.</t>
  </si>
  <si>
    <t>The profits tax rate for the year of assessment 2006/07 is 17.5%.  If an SME has an overseas operation, it should consider the overseas tax rate as well as how tax is calculated in that particular place.</t>
  </si>
  <si>
    <t>Gross profit margin is the ratio of gross profit (sales less direct expenses) and sales.  An SME can assume the gross profit margin as a margin over the cost of direct materials.  Gross profit margin is a very important element in the negotiation with suppliers and in the pricing of a product.  If an SME does not have a clear picture of the best gross profit margin of its products, it can assume various gross profit margins to assess the impact on the profit figure.</t>
  </si>
  <si>
    <t>It refers to the ratio of profit before interest and tax to sales.  SMEs can make a comparison of this ratio with other businesses of the same nature in the market to assess its profitability.</t>
  </si>
  <si>
    <t>It is the ratio of profit before tax to the total investment amount.</t>
  </si>
  <si>
    <t>It is the ratio of profit after tax to the capital inserted by the SME.</t>
  </si>
  <si>
    <t>Interest rate is the cost of borrowing, which can be floating or fixed depending on the terms of the contract.  SMEs should be aware of the interest rate trend to avoid unnecessary costs.  If the return on investment is higher than the cost of borrowing, SMEs can consider borrowings with consideration of other fees and costs incurred and the risk of the investment.</t>
  </si>
  <si>
    <t>SMEs can determine the depreciation period based on the useful live of an asset.  For instance, an SME can refer to the lease period to determine the depreciation period for decoration.</t>
  </si>
  <si>
    <t>Costs for fixed and long term assets have to be incurred upon start-up of a business regardless of the SME's operation level.</t>
  </si>
  <si>
    <t>Capital required for the purpose of operation (Excluding depreciation)</t>
  </si>
  <si>
    <t>An SME needs to consider how much fund is required for its business operation.</t>
  </si>
  <si>
    <t>Day of stock turnover represents how long the stock is kept.  The longer the period, the more the stock an SME is keeping.  This may lead to stock obsolence and result in loss.</t>
  </si>
  <si>
    <t>Capital required for business start-up</t>
  </si>
  <si>
    <t>Payback period means how long an SME requires to get back the amount of investment.  In practice, cash flow is required to calculate the payback period.  To simplify the calculation in this worksheet, the amount of profit after tax with an adjustment of depreciation is used.</t>
  </si>
  <si>
    <t>Fixed assets are assets which bring economic benefits to a business over one year.  Long term assets include rental deposits and other deposits.  Long term assets require support from SMEs' fund, as is the case for fixed assets.</t>
  </si>
  <si>
    <r>
      <t xml:space="preserve">SMEs need to consider various factors, such as the business status and customers' needs, to determine the stock level.  But in order to minimise the cost of stocking, it </t>
    </r>
    <r>
      <rPr>
        <b/>
        <sz val="12"/>
        <color indexed="8"/>
        <rFont val="Arial"/>
        <family val="2"/>
      </rPr>
      <t>should avoid</t>
    </r>
    <r>
      <rPr>
        <sz val="12"/>
        <color indexed="8"/>
        <rFont val="Arial"/>
        <family val="2"/>
      </rPr>
      <t xml:space="preserve"> keeping perishable or obsolete goods.  In general, SMEs should maintain a stock level which could meet at least three months' sales.</t>
    </r>
  </si>
  <si>
    <t>In general, SMEs should keep account receivables less than three months' sales in order to avoid sharing customers' financing costs, as well as to avoid bad debt.  SMEs involving in small businesses, such as boutiques, should maintain its account receivables at the lowest level.  Assuming an SME gives its customers a credit period of 90 days, the number of account receivable turnover day is 90.</t>
  </si>
  <si>
    <t>Cash which is not used for production should be kept to a minimum level.  Cash should only be kept for anticipated settlement of account payables and bank loans.  SMEs should also keep sufficient fund for one month's operating activities.  If an SME has operations overseas, the fluctuation of the exchange rates, long holidays, the exchange controls and currency circulation status of various places should be taken into consideration.</t>
  </si>
  <si>
    <t>This amount represents that the SME generates an operating profit, which is reflected in the value of various assets, such as cash or stock.</t>
  </si>
  <si>
    <t>The optimal way to settle creditors is by account settlement.  SMEs can also consider bank borrowings, but need to consider the interest expenses.</t>
  </si>
  <si>
    <t>SMEs need operating fund to support daily activities, including maintaining current assets and current liabilities.  Holding excessive long term assets will tie up the funds, increases financing costs and lowers its profitability.</t>
  </si>
  <si>
    <t>Loans can be short term or long term.  Short term loans which are repayable within one year belong to current liabilities.  Loan with repayment period longer than one year is long term loan.  Long term loan is usually classified as sources of finance.</t>
  </si>
  <si>
    <t>In general, SMEs should keep account receivables less than three months' sales in order to avoid sharing customers' financing costs, as well as to avoid bad debt.  SMEs involving in small businesses, such as boutiques, should maintain its account receivables at the lowest level.  Assuming an SME gives its customers a credit period of 90 days, the day of account receivable turnover is 90.</t>
  </si>
  <si>
    <t>Liquidity ratio is the ratio of current assets to current liabilities.  A healthy ratio should not be less than 1.</t>
  </si>
  <si>
    <t>Leverage is the ratio of an SME's borrowings to its net assets.</t>
  </si>
  <si>
    <t>Assuming the average spending of a customer is $35.</t>
  </si>
  <si>
    <t xml:space="preserve">Assuming that there are a total of 16 staff members, viz. 6 waiters, 2 responsible for drinks and beverages, 2 working in the kitchen, 2 cleaners, 2 handling the take-away, one cashier and the owner, and the average monthly salary per person is $10,000, the total amount of salaries will be $160,000 each month, and $1,920,000 each year.               </t>
  </si>
  <si>
    <t>Assuming that the small eatery is located in Tsimshatsui which occupies 3,000 sq ft, and the rent is $40 per sq ft, monthly rental will be $120,000, and the yearly rental will be $1,440,000.</t>
  </si>
  <si>
    <t>Assuming that the utilities expense amounts to $20,000 every month, the total utilities expense for one year will be $240,000.</t>
  </si>
  <si>
    <t>Assuming a table in the eatery can be used repeatedly.  Breakfast is from 7:00am to 10:00am, a total of 3 hours.  Lunch hour is from 12:00noon to 2:00pm, a total of 2 hours.  Tea time is from 3:00pm to 5:00pm, a total of 2 hours.  Dinner is from 6:00pm to 9:00pm, a total of 3 hours.  Night meal is from 9:00pm to 11:00pm, a total of 2 hours.  There are a total of 12 hours during which a seat can be occupied.  Assuming each customer stays for an average of 1.5 hours, and there are 30 days in 1 month, each seat can therefore be used for 2,880 times during a year.</t>
  </si>
  <si>
    <t>Business registration fee for one year is $2,600, whilst company registration fee is $1,720.  Assuming a lawyer or an accountant is entrusted to deal with these registrations, the fee incurred will be around $7,500.</t>
  </si>
  <si>
    <t>An SME should consider the funds he / she can use in the business.  If the SME does not have adequate funds and borrowing is required,  it should then carefully consider all the costs involved in borrowing such as interest expenses.</t>
  </si>
  <si>
    <t>This worksheet is jointly compiled by ACCA (Association of Chartered Certified Accountants) Hong Kong and the Trade and Industry Department of the Government of Hong Kong Special Administrative Region (collectively referred to as "the Compiler") for use as reference only.  While every effort has been made by the Compiler to ensure the accuracy of the information delivered in this worksheet, the Compiler shall not be liable for any errors, omission or misrepresentation in such materials.  Moreover, the Compiler shall not be liable for any economic or any other loss or damages (including without limitation to any real or anticipated increased costs or expenses, loss of profits, business contracts and revenues, and business interruption) incurred or suffered by any person using this worksheet.</t>
  </si>
  <si>
    <t>To encourage a wider distribution of business start-up information, the Compiler would have no objection for users to disseminate or reproduce the materials or part of the materials on this worksheet, provided that indicate the materials are obtained from ACCA and the Trade and Industry Department and that the re-dissemination or reproduction is for a non-commercial purpose.</t>
  </si>
  <si>
    <t>Assuming miscellaneous expense amounts to 5% of the recurrent expenditure.</t>
  </si>
  <si>
    <t>Assuming the commission to the property agent amounts to half of the monthly rental, and this expense is only incurred in the first year.</t>
  </si>
  <si>
    <t>Assuming consultancy fee upon the start-up of business is $30,000.</t>
  </si>
  <si>
    <t>Capacity constraint</t>
  </si>
  <si>
    <t>Average price</t>
  </si>
  <si>
    <t>Return on capital</t>
  </si>
  <si>
    <t>Assuming an SME is operating a small eatery.  There are a total of 22 tables and each table can accommodate 4 persons.  Its capacity constraint is therefore 88 seats.</t>
  </si>
  <si>
    <t>Assuming interest rate is 10%.</t>
  </si>
  <si>
    <t>N/A</t>
  </si>
  <si>
    <t>(1)</t>
  </si>
  <si>
    <t>(2)</t>
  </si>
  <si>
    <t>(5)</t>
  </si>
  <si>
    <t>(2) + (3) = (4)</t>
  </si>
  <si>
    <t>(3)</t>
  </si>
  <si>
    <t>(4) - (5) = (6)</t>
  </si>
  <si>
    <t>(1) + (6)</t>
  </si>
  <si>
    <t>(4) / (5)</t>
  </si>
  <si>
    <t>Profit and Loss Account</t>
  </si>
  <si>
    <t>Operating Capacity</t>
  </si>
  <si>
    <t>Turnover</t>
  </si>
  <si>
    <t>Total Sales</t>
  </si>
  <si>
    <t>Gross Profit</t>
  </si>
  <si>
    <t>Less: Expenses</t>
  </si>
  <si>
    <t>Rent</t>
  </si>
  <si>
    <t>Utilities</t>
  </si>
  <si>
    <t>Miscellaneous</t>
  </si>
  <si>
    <t>Consultancy fee</t>
  </si>
  <si>
    <t>Promotional expense</t>
  </si>
  <si>
    <t>Depreciation</t>
  </si>
  <si>
    <t>Profit before interest and tax</t>
  </si>
  <si>
    <t>Interest (per below)</t>
  </si>
  <si>
    <t>Profit before tax</t>
  </si>
  <si>
    <t>Tax</t>
  </si>
  <si>
    <t>Profit after tax</t>
  </si>
  <si>
    <t>% of Occupancy</t>
  </si>
  <si>
    <t>For the purposes of fixed and long term assets</t>
  </si>
  <si>
    <t>Decoration</t>
  </si>
  <si>
    <t>Motor vehicle</t>
  </si>
  <si>
    <t>Office equipment</t>
  </si>
  <si>
    <t>Promotional expenses</t>
  </si>
  <si>
    <t>Period for depreciation</t>
  </si>
  <si>
    <t>Note</t>
  </si>
  <si>
    <t>Initial capital</t>
  </si>
  <si>
    <t>For the purpose of operation (Excl depreciation)</t>
  </si>
  <si>
    <t>Initial capital required</t>
  </si>
  <si>
    <t>Payback period</t>
  </si>
  <si>
    <t>Payback period (year(s))</t>
  </si>
  <si>
    <t>Balance Sheet</t>
  </si>
  <si>
    <t>Fixed and long term assets</t>
  </si>
  <si>
    <t xml:space="preserve">    Decoration</t>
  </si>
  <si>
    <t xml:space="preserve">    Motor vehicle</t>
  </si>
  <si>
    <t xml:space="preserve">    Office equipment</t>
  </si>
  <si>
    <t xml:space="preserve">    Rental and other long term deposits</t>
  </si>
  <si>
    <t xml:space="preserve">    Other long term assets</t>
  </si>
  <si>
    <t>Current assets</t>
  </si>
  <si>
    <t xml:space="preserve">    Stock</t>
  </si>
  <si>
    <t xml:space="preserve">    Cash at bank and in hand</t>
  </si>
  <si>
    <t xml:space="preserve">    Other current assets                                               </t>
  </si>
  <si>
    <t>Current liabilities</t>
  </si>
  <si>
    <t xml:space="preserve">    Account payables</t>
  </si>
  <si>
    <t xml:space="preserve">    Account receivables</t>
  </si>
  <si>
    <t xml:space="preserve">    Tax payable</t>
  </si>
  <si>
    <t xml:space="preserve">Operating fund                                   </t>
  </si>
  <si>
    <t xml:space="preserve">Total net assets                                       </t>
  </si>
  <si>
    <t>Source of capital</t>
  </si>
  <si>
    <t>Share capital</t>
  </si>
  <si>
    <t>Profit / (loss)</t>
  </si>
  <si>
    <t>Loans</t>
  </si>
  <si>
    <t>Days of stock turnover</t>
  </si>
  <si>
    <t>Days of account receivables turnover</t>
  </si>
  <si>
    <t>Days of account payables turnover</t>
  </si>
  <si>
    <t>Gross profit</t>
  </si>
  <si>
    <t>Recurrent expenditure</t>
  </si>
  <si>
    <t>Interest expense</t>
  </si>
  <si>
    <t>Gross profit margin</t>
  </si>
  <si>
    <t>Net profit margin</t>
  </si>
  <si>
    <t>Interest rate</t>
  </si>
  <si>
    <t>Depreciation period</t>
  </si>
  <si>
    <t>Day of stock turnover</t>
  </si>
  <si>
    <t>Stock</t>
  </si>
  <si>
    <t>Account receivables</t>
  </si>
  <si>
    <t>Cash at bank and in hand</t>
  </si>
  <si>
    <t>Other current assets</t>
  </si>
  <si>
    <t>Account payables</t>
  </si>
  <si>
    <t>Loan</t>
  </si>
  <si>
    <t>Days of account payable turnover</t>
  </si>
  <si>
    <t>Days of account receivable turnover</t>
  </si>
  <si>
    <t>Leverage</t>
  </si>
  <si>
    <t>Retun on capital</t>
  </si>
  <si>
    <t>Operating fund</t>
  </si>
  <si>
    <t>Calculation of interest</t>
  </si>
  <si>
    <t>Notes</t>
  </si>
  <si>
    <t>Budget Analysis Worksheet - Notes</t>
  </si>
  <si>
    <t>Capacity constraint</t>
  </si>
  <si>
    <t>Overall profitability</t>
  </si>
  <si>
    <t>Return on total investment</t>
  </si>
  <si>
    <t>﹝Example﹞Small Eatery</t>
  </si>
  <si>
    <t>Salaries and wages</t>
  </si>
  <si>
    <t>Property agency commission</t>
  </si>
  <si>
    <t>Incorporation expense and business registration fee</t>
  </si>
  <si>
    <t>Equipment</t>
  </si>
  <si>
    <t>Rental and other long term deposits</t>
  </si>
  <si>
    <t>Other long term assets</t>
  </si>
  <si>
    <t>Other main expense items</t>
  </si>
  <si>
    <t>Incorporation expenses and business registration fee</t>
  </si>
  <si>
    <t xml:space="preserve">    Equipment</t>
  </si>
  <si>
    <t>Main financial ratios</t>
  </si>
  <si>
    <t>Liquidity ratio</t>
  </si>
  <si>
    <t>Capital required for the purposes of fixed and long term assets</t>
  </si>
  <si>
    <t>Budget Analysis Worksheet</t>
  </si>
  <si>
    <t>Disclaimer</t>
  </si>
  <si>
    <t>Please refer to the following terms and conditions before using this worksheet.  By using this worksheet, you agree to the terms and conditions set out below.</t>
  </si>
  <si>
    <t>Other main expense items</t>
  </si>
  <si>
    <t>Average price</t>
  </si>
  <si>
    <t>Given that the main stock item of an eatery is food, the period of stock turnover should not be long.  In this illustration, it is assumed that the number of stock turnover days is 30 days.</t>
  </si>
  <si>
    <t>Assuming cost of the decoration is $2,000,000.  $1,600,000 is the amount net of depreciation.</t>
  </si>
  <si>
    <t>Given that transactions in the small eatery are generally cash transactions, and credit period for customers is rare, the number of account receivables turnover day is assumed to be 0 and account receivable is also 0.</t>
  </si>
  <si>
    <t>Assuming a credit period of one month is given by the creditors, the amount of account payable is calculated by the account payable turnover of 30 days.</t>
  </si>
  <si>
    <r>
      <t>﹝</t>
    </r>
    <r>
      <rPr>
        <b/>
        <sz val="12"/>
        <rFont val="Arial"/>
        <family val="2"/>
      </rPr>
      <t>Example</t>
    </r>
    <r>
      <rPr>
        <b/>
        <sz val="12"/>
        <rFont val="NewsGoth BT"/>
        <family val="2"/>
      </rPr>
      <t>﹞</t>
    </r>
    <r>
      <rPr>
        <b/>
        <sz val="12"/>
        <rFont val="Arial"/>
        <family val="2"/>
      </rPr>
      <t>Small Eatery</t>
    </r>
  </si>
  <si>
    <r>
      <t>Stock</t>
    </r>
    <r>
      <rPr>
        <sz val="11"/>
        <rFont val="NewsGoth BT"/>
        <family val="2"/>
      </rPr>
      <t>（</t>
    </r>
    <r>
      <rPr>
        <sz val="11"/>
        <rFont val="Arial"/>
        <family val="2"/>
      </rPr>
      <t>Stock turnover</t>
    </r>
    <r>
      <rPr>
        <sz val="11"/>
        <rFont val="NewsGoth BT"/>
        <family val="2"/>
      </rPr>
      <t>：</t>
    </r>
  </si>
  <si>
    <r>
      <t>day(s)</t>
    </r>
    <r>
      <rPr>
        <sz val="11"/>
        <rFont val="NewsGoth BT"/>
        <family val="2"/>
      </rPr>
      <t>）</t>
    </r>
  </si>
  <si>
    <r>
      <t>Recurrent expenditure</t>
    </r>
    <r>
      <rPr>
        <sz val="11"/>
        <rFont val="NewsGoth BT"/>
        <family val="2"/>
      </rPr>
      <t>（</t>
    </r>
  </si>
  <si>
    <r>
      <t>month(s)</t>
    </r>
    <r>
      <rPr>
        <sz val="11"/>
        <rFont val="NewsGoth BT"/>
        <family val="2"/>
      </rPr>
      <t>）</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</si>
</sst>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0.0_ "/>
    <numFmt numFmtId="186" formatCode="&quot;Yes&quot;;&quot;Yes&quot;;&quot;No&quot;"/>
    <numFmt numFmtId="187" formatCode="&quot;True&quot;;&quot;True&quot;;&quot;False&quot;"/>
    <numFmt numFmtId="188" formatCode="&quot;On&quot;;&quot;On&quot;;&quot;Off&quot;"/>
    <numFmt numFmtId="189" formatCode="[$€-2]\ #,##0.00_);[Red]\([$€-2]\ #,##0.00\)"/>
  </numFmts>
  <fonts count="28">
    <font>
      <sz val="12"/>
      <name val="新細明體"/>
      <family val="1"/>
    </font>
    <font>
      <b/>
      <sz val="12"/>
      <name val="細明體"/>
      <family val="3"/>
    </font>
    <font>
      <sz val="9"/>
      <name val="細明體"/>
      <family val="3"/>
    </font>
    <font>
      <b/>
      <sz val="12"/>
      <name val="NewsGoth BT"/>
      <family val="2"/>
    </font>
    <font>
      <sz val="12"/>
      <name val="NewsGoth BT"/>
      <family val="2"/>
    </font>
    <font>
      <sz val="12"/>
      <name val="細明體"/>
      <family val="3"/>
    </font>
    <font>
      <sz val="9"/>
      <name val="新細明體"/>
      <family val="1"/>
    </font>
    <font>
      <sz val="12"/>
      <name val="Arial"/>
      <family val="2"/>
    </font>
    <font>
      <b/>
      <sz val="12"/>
      <name val="Arial"/>
      <family val="2"/>
    </font>
    <font>
      <b/>
      <sz val="12"/>
      <color indexed="10"/>
      <name val="NewsGoth BT"/>
      <family val="2"/>
    </font>
    <font>
      <sz val="8"/>
      <name val="新細明體"/>
      <family val="1"/>
    </font>
    <font>
      <u val="single"/>
      <sz val="9"/>
      <color indexed="12"/>
      <name val="新細明體"/>
      <family val="1"/>
    </font>
    <font>
      <u val="single"/>
      <sz val="9"/>
      <color indexed="36"/>
      <name val="新細明體"/>
      <family val="1"/>
    </font>
    <font>
      <b/>
      <sz val="12"/>
      <color indexed="10"/>
      <name val="Arial"/>
      <family val="2"/>
    </font>
    <font>
      <sz val="11"/>
      <name val="NewsGoth BT"/>
      <family val="2"/>
    </font>
    <font>
      <b/>
      <i/>
      <sz val="12"/>
      <name val="NewsGoth BT"/>
      <family val="2"/>
    </font>
    <font>
      <b/>
      <sz val="14"/>
      <name val="NewsGoth BT"/>
      <family val="2"/>
    </font>
    <font>
      <b/>
      <sz val="9"/>
      <name val="新細明體"/>
      <family val="1"/>
    </font>
    <font>
      <i/>
      <sz val="9"/>
      <name val="新細明體"/>
      <family val="1"/>
    </font>
    <font>
      <i/>
      <sz val="12"/>
      <name val="Arial"/>
      <family val="2"/>
    </font>
    <font>
      <i/>
      <sz val="12"/>
      <color indexed="10"/>
      <name val="Arial"/>
      <family val="2"/>
    </font>
    <font>
      <b/>
      <sz val="12"/>
      <color indexed="18"/>
      <name val="Arial"/>
      <family val="2"/>
    </font>
    <font>
      <sz val="12"/>
      <color indexed="8"/>
      <name val="Arial"/>
      <family val="2"/>
    </font>
    <font>
      <b/>
      <sz val="12"/>
      <color indexed="8"/>
      <name val="Arial"/>
      <family val="2"/>
    </font>
    <font>
      <i/>
      <sz val="12"/>
      <color indexed="8"/>
      <name val="Arial"/>
      <family val="2"/>
    </font>
    <font>
      <sz val="11"/>
      <name val="Arial"/>
      <family val="2"/>
    </font>
    <font>
      <sz val="10"/>
      <name val="Arial"/>
      <family val="2"/>
    </font>
    <font>
      <b/>
      <sz val="8"/>
      <name val="新細明體"/>
      <family val="2"/>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0" borderId="0" applyNumberFormat="0" applyFill="0" applyBorder="0" applyAlignment="0" applyProtection="0"/>
  </cellStyleXfs>
  <cellXfs count="127">
    <xf numFmtId="0" fontId="0" fillId="0" borderId="0" xfId="0" applyAlignment="1">
      <alignment/>
    </xf>
    <xf numFmtId="0" fontId="3" fillId="0" borderId="0" xfId="0" applyFont="1" applyAlignment="1">
      <alignment horizontal="center"/>
    </xf>
    <xf numFmtId="184" fontId="4" fillId="0" borderId="0" xfId="15" applyNumberFormat="1" applyFont="1" applyAlignment="1">
      <alignment horizontal="right"/>
    </xf>
    <xf numFmtId="0" fontId="4" fillId="0" borderId="0" xfId="0" applyFont="1" applyAlignment="1">
      <alignment/>
    </xf>
    <xf numFmtId="0" fontId="3" fillId="0" borderId="0" xfId="0" applyFont="1" applyAlignment="1">
      <alignment/>
    </xf>
    <xf numFmtId="0" fontId="1" fillId="0" borderId="0" xfId="0" applyFont="1" applyAlignment="1">
      <alignment horizontal="center"/>
    </xf>
    <xf numFmtId="9" fontId="4" fillId="0" borderId="0" xfId="18" applyFont="1" applyAlignment="1">
      <alignment horizontal="right"/>
    </xf>
    <xf numFmtId="0" fontId="4" fillId="0" borderId="0" xfId="0" applyFont="1" applyAlignment="1">
      <alignment horizontal="center"/>
    </xf>
    <xf numFmtId="184" fontId="4" fillId="0" borderId="1" xfId="15" applyNumberFormat="1" applyFont="1" applyBorder="1" applyAlignment="1">
      <alignment horizontal="right"/>
    </xf>
    <xf numFmtId="3" fontId="4" fillId="0" borderId="0" xfId="15" applyNumberFormat="1" applyFont="1" applyAlignment="1">
      <alignment horizontal="right"/>
    </xf>
    <xf numFmtId="184" fontId="4" fillId="0" borderId="2" xfId="15" applyNumberFormat="1" applyFont="1" applyBorder="1" applyAlignment="1">
      <alignment horizontal="right"/>
    </xf>
    <xf numFmtId="9"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pplyProtection="1">
      <alignment horizontal="right"/>
      <protection/>
    </xf>
    <xf numFmtId="0" fontId="4" fillId="0" borderId="0" xfId="0" applyFont="1" applyAlignment="1" applyProtection="1">
      <alignment/>
      <protection/>
    </xf>
    <xf numFmtId="9" fontId="4" fillId="0" borderId="0" xfId="18" applyFont="1" applyAlignment="1" applyProtection="1">
      <alignment horizontal="right"/>
      <protection/>
    </xf>
    <xf numFmtId="0" fontId="4" fillId="0" borderId="0" xfId="0" applyFont="1" applyBorder="1" applyAlignment="1" applyProtection="1">
      <alignment horizontal="right"/>
      <protection/>
    </xf>
    <xf numFmtId="184" fontId="4" fillId="0" borderId="3" xfId="15" applyNumberFormat="1" applyFont="1" applyBorder="1" applyAlignment="1" applyProtection="1">
      <alignment horizontal="right"/>
      <protection/>
    </xf>
    <xf numFmtId="184" fontId="4" fillId="0" borderId="4" xfId="15" applyNumberFormat="1" applyFont="1" applyBorder="1" applyAlignment="1" applyProtection="1">
      <alignment horizontal="right"/>
      <protection/>
    </xf>
    <xf numFmtId="184" fontId="4" fillId="0" borderId="0" xfId="15" applyNumberFormat="1" applyFont="1" applyBorder="1" applyAlignment="1" applyProtection="1">
      <alignment horizontal="right"/>
      <protection/>
    </xf>
    <xf numFmtId="184" fontId="4" fillId="0" borderId="5" xfId="15" applyNumberFormat="1" applyFont="1" applyBorder="1" applyAlignment="1" applyProtection="1">
      <alignment horizontal="right"/>
      <protection/>
    </xf>
    <xf numFmtId="184" fontId="4" fillId="0" borderId="1" xfId="15" applyNumberFormat="1" applyFont="1" applyBorder="1" applyAlignment="1" applyProtection="1">
      <alignment horizontal="right"/>
      <protection/>
    </xf>
    <xf numFmtId="184" fontId="4" fillId="0" borderId="6" xfId="15" applyNumberFormat="1" applyFont="1" applyBorder="1" applyAlignment="1" applyProtection="1">
      <alignment horizontal="right"/>
      <protection/>
    </xf>
    <xf numFmtId="184" fontId="4" fillId="0" borderId="0" xfId="15" applyNumberFormat="1" applyFont="1" applyAlignment="1" applyProtection="1">
      <alignment horizontal="right"/>
      <protection/>
    </xf>
    <xf numFmtId="184" fontId="4" fillId="0" borderId="7" xfId="15" applyNumberFormat="1" applyFont="1" applyBorder="1" applyAlignment="1" applyProtection="1">
      <alignment horizontal="right"/>
      <protection/>
    </xf>
    <xf numFmtId="184" fontId="4" fillId="0" borderId="8" xfId="15" applyNumberFormat="1" applyFont="1" applyBorder="1" applyAlignment="1" applyProtection="1">
      <alignment horizontal="right"/>
      <protection/>
    </xf>
    <xf numFmtId="184" fontId="4" fillId="0" borderId="9" xfId="15" applyNumberFormat="1" applyFont="1" applyBorder="1" applyAlignment="1" applyProtection="1">
      <alignment horizontal="right"/>
      <protection/>
    </xf>
    <xf numFmtId="184" fontId="4" fillId="0" borderId="7" xfId="15" applyNumberFormat="1" applyFont="1" applyFill="1" applyBorder="1" applyAlignment="1" applyProtection="1">
      <alignment horizontal="right"/>
      <protection/>
    </xf>
    <xf numFmtId="184" fontId="4" fillId="0" borderId="3" xfId="15" applyNumberFormat="1" applyFont="1" applyFill="1" applyBorder="1" applyAlignment="1" applyProtection="1">
      <alignment horizontal="right"/>
      <protection/>
    </xf>
    <xf numFmtId="184" fontId="4" fillId="0" borderId="4" xfId="15" applyNumberFormat="1" applyFont="1" applyFill="1" applyBorder="1" applyAlignment="1" applyProtection="1">
      <alignment horizontal="right"/>
      <protection/>
    </xf>
    <xf numFmtId="184" fontId="4" fillId="0" borderId="9" xfId="15" applyNumberFormat="1" applyFont="1" applyFill="1" applyBorder="1" applyAlignment="1" applyProtection="1">
      <alignment horizontal="right"/>
      <protection/>
    </xf>
    <xf numFmtId="184" fontId="4" fillId="0" borderId="1" xfId="15" applyNumberFormat="1" applyFont="1" applyFill="1" applyBorder="1" applyAlignment="1" applyProtection="1">
      <alignment horizontal="right"/>
      <protection/>
    </xf>
    <xf numFmtId="184" fontId="4" fillId="0" borderId="6" xfId="15" applyNumberFormat="1" applyFont="1" applyFill="1" applyBorder="1" applyAlignment="1" applyProtection="1">
      <alignment horizontal="right"/>
      <protection/>
    </xf>
    <xf numFmtId="184" fontId="4" fillId="0" borderId="0" xfId="15" applyNumberFormat="1" applyFont="1" applyFill="1" applyBorder="1" applyAlignment="1" applyProtection="1">
      <alignment horizontal="right"/>
      <protection/>
    </xf>
    <xf numFmtId="3" fontId="4" fillId="0" borderId="0" xfId="15" applyNumberFormat="1" applyFont="1" applyAlignment="1" applyProtection="1">
      <alignment horizontal="right"/>
      <protection/>
    </xf>
    <xf numFmtId="184" fontId="4" fillId="0" borderId="2" xfId="15" applyNumberFormat="1" applyFont="1" applyBorder="1" applyAlignment="1" applyProtection="1">
      <alignment horizontal="right"/>
      <protection/>
    </xf>
    <xf numFmtId="9" fontId="4" fillId="0" borderId="0" xfId="0" applyNumberFormat="1" applyFont="1" applyAlignment="1" applyProtection="1">
      <alignment horizontal="right"/>
      <protection/>
    </xf>
    <xf numFmtId="0" fontId="7" fillId="0" borderId="0" xfId="0" applyFont="1" applyAlignment="1">
      <alignment horizontal="right"/>
    </xf>
    <xf numFmtId="3" fontId="7" fillId="0" borderId="0" xfId="0" applyNumberFormat="1" applyFont="1" applyAlignment="1">
      <alignment horizontal="right"/>
    </xf>
    <xf numFmtId="3" fontId="7" fillId="0" borderId="0" xfId="0" applyNumberFormat="1" applyFont="1" applyBorder="1" applyAlignment="1">
      <alignment horizontal="right"/>
    </xf>
    <xf numFmtId="4" fontId="7" fillId="0" borderId="0" xfId="0" applyNumberFormat="1" applyFont="1" applyAlignment="1">
      <alignment horizontal="right"/>
    </xf>
    <xf numFmtId="0" fontId="8" fillId="0" borderId="0" xfId="0" applyFont="1" applyAlignment="1">
      <alignment/>
    </xf>
    <xf numFmtId="0" fontId="7" fillId="0" borderId="0" xfId="0" applyFont="1" applyAlignment="1">
      <alignment/>
    </xf>
    <xf numFmtId="0" fontId="7" fillId="0" borderId="0" xfId="0" applyFont="1" applyAlignment="1">
      <alignment horizontal="left"/>
    </xf>
    <xf numFmtId="0" fontId="7" fillId="0" borderId="0" xfId="0" applyFont="1" applyAlignment="1" applyProtection="1">
      <alignment/>
      <protection/>
    </xf>
    <xf numFmtId="37" fontId="7" fillId="0" borderId="0" xfId="0" applyNumberFormat="1" applyFont="1" applyAlignment="1">
      <alignment horizontal="right"/>
    </xf>
    <xf numFmtId="3" fontId="7" fillId="0" borderId="2" xfId="0" applyNumberFormat="1" applyFont="1" applyBorder="1" applyAlignment="1">
      <alignment horizontal="right"/>
    </xf>
    <xf numFmtId="0" fontId="7" fillId="0" borderId="0" xfId="0" applyFont="1" applyAlignment="1" applyProtection="1">
      <alignment horizontal="right"/>
      <protection/>
    </xf>
    <xf numFmtId="3" fontId="7" fillId="0" borderId="0" xfId="0" applyNumberFormat="1" applyFont="1" applyFill="1" applyBorder="1" applyAlignment="1">
      <alignment horizontal="right"/>
    </xf>
    <xf numFmtId="3" fontId="7" fillId="0" borderId="0" xfId="0" applyNumberFormat="1" applyFont="1" applyFill="1" applyAlignment="1">
      <alignment horizontal="right"/>
    </xf>
    <xf numFmtId="38" fontId="7" fillId="0" borderId="0" xfId="0" applyNumberFormat="1" applyFont="1" applyAlignment="1">
      <alignment horizontal="right"/>
    </xf>
    <xf numFmtId="38" fontId="7" fillId="0" borderId="0" xfId="0" applyNumberFormat="1" applyFont="1" applyFill="1" applyBorder="1" applyAlignment="1">
      <alignment horizontal="right"/>
    </xf>
    <xf numFmtId="38" fontId="7" fillId="0" borderId="0" xfId="0" applyNumberFormat="1" applyFont="1" applyBorder="1" applyAlignment="1">
      <alignment horizontal="right"/>
    </xf>
    <xf numFmtId="38" fontId="7" fillId="0" borderId="3" xfId="0" applyNumberFormat="1" applyFont="1" applyBorder="1" applyAlignment="1">
      <alignment horizontal="right"/>
    </xf>
    <xf numFmtId="9" fontId="7" fillId="0" borderId="0" xfId="0" applyNumberFormat="1" applyFont="1" applyAlignment="1">
      <alignment horizontal="right"/>
    </xf>
    <xf numFmtId="37" fontId="7" fillId="0" borderId="1" xfId="0" applyNumberFormat="1" applyFont="1" applyBorder="1" applyAlignment="1">
      <alignment horizontal="right"/>
    </xf>
    <xf numFmtId="2" fontId="7" fillId="0" borderId="0" xfId="0" applyNumberFormat="1" applyFont="1" applyAlignment="1">
      <alignment horizontal="right"/>
    </xf>
    <xf numFmtId="0" fontId="7" fillId="0" borderId="0" xfId="0" applyFont="1" applyFill="1" applyAlignment="1">
      <alignment horizontal="right"/>
    </xf>
    <xf numFmtId="184" fontId="9" fillId="2" borderId="0" xfId="15" applyNumberFormat="1" applyFont="1" applyFill="1" applyAlignment="1">
      <alignment horizontal="right"/>
    </xf>
    <xf numFmtId="43" fontId="9" fillId="2" borderId="0" xfId="15" applyNumberFormat="1" applyFont="1" applyFill="1" applyAlignment="1">
      <alignment horizontal="right"/>
    </xf>
    <xf numFmtId="184" fontId="9" fillId="2" borderId="1" xfId="15" applyNumberFormat="1" applyFont="1" applyFill="1" applyBorder="1" applyAlignment="1">
      <alignment horizontal="right"/>
    </xf>
    <xf numFmtId="184" fontId="4" fillId="0" borderId="0" xfId="15" applyNumberFormat="1" applyFont="1" applyBorder="1" applyAlignment="1">
      <alignment horizontal="right"/>
    </xf>
    <xf numFmtId="9" fontId="9" fillId="2" borderId="0" xfId="0" applyNumberFormat="1" applyFont="1" applyFill="1" applyAlignment="1">
      <alignment horizontal="right"/>
    </xf>
    <xf numFmtId="0" fontId="3" fillId="0" borderId="0" xfId="0" applyFont="1" applyAlignment="1" applyProtection="1">
      <alignment horizontal="right"/>
      <protection/>
    </xf>
    <xf numFmtId="0" fontId="1" fillId="0" borderId="0" xfId="0" applyFont="1" applyAlignment="1" applyProtection="1">
      <alignment horizontal="right"/>
      <protection/>
    </xf>
    <xf numFmtId="0" fontId="4" fillId="0" borderId="0" xfId="0" applyFont="1" applyAlignment="1" applyProtection="1" quotePrefix="1">
      <alignment horizontal="right"/>
      <protection/>
    </xf>
    <xf numFmtId="40" fontId="4" fillId="0" borderId="0" xfId="0" applyNumberFormat="1" applyFont="1" applyAlignment="1" applyProtection="1">
      <alignment horizontal="right"/>
      <protection/>
    </xf>
    <xf numFmtId="0" fontId="1" fillId="0" borderId="0" xfId="0" applyFont="1" applyAlignment="1" applyProtection="1">
      <alignment horizontal="center"/>
      <protection/>
    </xf>
    <xf numFmtId="0" fontId="8" fillId="0" borderId="0" xfId="0" applyFont="1" applyAlignment="1" applyProtection="1">
      <alignment horizontal="center"/>
      <protection/>
    </xf>
    <xf numFmtId="0" fontId="7" fillId="0" borderId="0" xfId="0" applyFont="1" applyAlignment="1" applyProtection="1">
      <alignment horizontal="center"/>
      <protection/>
    </xf>
    <xf numFmtId="0" fontId="7" fillId="0" borderId="0" xfId="0" applyFont="1" applyAlignment="1">
      <alignment horizontal="center"/>
    </xf>
    <xf numFmtId="0" fontId="8" fillId="0" borderId="0" xfId="0" applyFont="1" applyAlignment="1">
      <alignment horizontal="center"/>
    </xf>
    <xf numFmtId="0" fontId="4" fillId="0" borderId="0" xfId="0" applyFont="1" applyFill="1" applyAlignment="1" applyProtection="1">
      <alignment horizontal="right"/>
      <protection/>
    </xf>
    <xf numFmtId="38" fontId="13" fillId="2" borderId="0" xfId="0" applyNumberFormat="1" applyFont="1" applyFill="1" applyAlignment="1">
      <alignment horizontal="right"/>
    </xf>
    <xf numFmtId="0" fontId="13" fillId="2" borderId="0" xfId="0" applyFont="1" applyFill="1" applyAlignment="1">
      <alignment horizontal="right"/>
    </xf>
    <xf numFmtId="38" fontId="13" fillId="2" borderId="0" xfId="15" applyNumberFormat="1" applyFont="1" applyFill="1" applyBorder="1" applyAlignment="1" applyProtection="1">
      <alignment horizontal="right"/>
      <protection/>
    </xf>
    <xf numFmtId="38" fontId="13" fillId="2" borderId="1" xfId="15" applyNumberFormat="1" applyFont="1" applyFill="1" applyBorder="1" applyAlignment="1" applyProtection="1">
      <alignment horizontal="right"/>
      <protection/>
    </xf>
    <xf numFmtId="0" fontId="13" fillId="2" borderId="0" xfId="0" applyFont="1" applyFill="1" applyAlignment="1">
      <alignment/>
    </xf>
    <xf numFmtId="0" fontId="8" fillId="0" borderId="0" xfId="0" applyFont="1" applyAlignment="1" applyProtection="1" quotePrefix="1">
      <alignment horizontal="center"/>
      <protection/>
    </xf>
    <xf numFmtId="0" fontId="9" fillId="2" borderId="0" xfId="0" applyFont="1" applyFill="1" applyAlignment="1" applyProtection="1">
      <alignment horizontal="right"/>
      <protection/>
    </xf>
    <xf numFmtId="184" fontId="4" fillId="0" borderId="0" xfId="15" applyNumberFormat="1"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protection/>
    </xf>
    <xf numFmtId="0" fontId="15" fillId="0" borderId="0" xfId="0" applyFont="1" applyAlignment="1">
      <alignment/>
    </xf>
    <xf numFmtId="0" fontId="3" fillId="0" borderId="0" xfId="0" applyFont="1" applyAlignment="1">
      <alignment horizontal="justify"/>
    </xf>
    <xf numFmtId="0" fontId="4" fillId="0" borderId="0" xfId="0" applyFont="1" applyAlignment="1">
      <alignment horizontal="justify"/>
    </xf>
    <xf numFmtId="0" fontId="4" fillId="0" borderId="0" xfId="0" applyFont="1" applyAlignment="1">
      <alignment vertical="top"/>
    </xf>
    <xf numFmtId="0" fontId="7" fillId="0" borderId="0" xfId="0" applyFont="1" applyAlignment="1">
      <alignment wrapText="1"/>
    </xf>
    <xf numFmtId="0" fontId="7" fillId="0" borderId="0" xfId="0" applyFont="1" applyAlignment="1">
      <alignment horizontal="left" wrapText="1"/>
    </xf>
    <xf numFmtId="0" fontId="8" fillId="0" borderId="0" xfId="0" applyFont="1" applyBorder="1" applyAlignment="1">
      <alignment horizontal="left" wrapText="1"/>
    </xf>
    <xf numFmtId="0" fontId="7" fillId="0" borderId="0" xfId="0" applyFont="1" applyAlignment="1">
      <alignment horizontal="left" vertical="top" wrapText="1"/>
    </xf>
    <xf numFmtId="0" fontId="20" fillId="0" borderId="0" xfId="0" applyFont="1" applyAlignment="1">
      <alignment wrapText="1"/>
    </xf>
    <xf numFmtId="0" fontId="7" fillId="0" borderId="0" xfId="0" applyFont="1" applyAlignment="1">
      <alignment horizontal="left" vertical="top"/>
    </xf>
    <xf numFmtId="0" fontId="7" fillId="0" borderId="0" xfId="0" applyFont="1" applyAlignment="1">
      <alignment horizontal="justify" vertical="top" wrapText="1"/>
    </xf>
    <xf numFmtId="0" fontId="8" fillId="0" borderId="0" xfId="0" applyFont="1" applyAlignment="1">
      <alignment horizontal="justify" vertical="top" wrapText="1"/>
    </xf>
    <xf numFmtId="0" fontId="20"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horizontal="left" vertical="top" wrapText="1"/>
    </xf>
    <xf numFmtId="0" fontId="22" fillId="0" borderId="0" xfId="0" applyFont="1" applyAlignment="1">
      <alignment horizontal="justify" vertical="center" wrapText="1"/>
    </xf>
    <xf numFmtId="0" fontId="23" fillId="0" borderId="0" xfId="0" applyFont="1" applyAlignment="1">
      <alignment horizontal="justify" vertical="center" wrapText="1"/>
    </xf>
    <xf numFmtId="0" fontId="22" fillId="0" borderId="0" xfId="0" applyFont="1" applyBorder="1" applyAlignment="1" applyProtection="1">
      <alignment horizontal="justify" vertical="center" wrapText="1"/>
      <protection locked="0"/>
    </xf>
    <xf numFmtId="0" fontId="22" fillId="0" borderId="0" xfId="0" applyFont="1" applyBorder="1" applyAlignment="1">
      <alignment horizontal="justify" vertical="center" wrapText="1"/>
    </xf>
    <xf numFmtId="0" fontId="24" fillId="0" borderId="0" xfId="0" applyFont="1" applyAlignment="1">
      <alignment horizontal="justify" vertical="center" wrapText="1"/>
    </xf>
    <xf numFmtId="0" fontId="23" fillId="0" borderId="0" xfId="0" applyFont="1" applyFill="1" applyAlignment="1">
      <alignment horizontal="justify" vertical="center" wrapText="1"/>
    </xf>
    <xf numFmtId="0" fontId="23" fillId="0" borderId="0" xfId="0" applyFont="1" applyAlignment="1" applyProtection="1">
      <alignment horizontal="justify" vertical="center" wrapText="1"/>
      <protection/>
    </xf>
    <xf numFmtId="0" fontId="20" fillId="0" borderId="0" xfId="0" applyFont="1" applyAlignment="1">
      <alignment horizontal="justify" vertical="center" wrapText="1"/>
    </xf>
    <xf numFmtId="0" fontId="8" fillId="0" borderId="0" xfId="0" applyFont="1" applyAlignment="1">
      <alignment horizontal="left"/>
    </xf>
    <xf numFmtId="0" fontId="8" fillId="0" borderId="0" xfId="0" applyFont="1" applyFill="1" applyAlignment="1">
      <alignment horizontal="left"/>
    </xf>
    <xf numFmtId="0" fontId="25" fillId="0" borderId="0" xfId="0" applyFont="1" applyAlignment="1" applyProtection="1">
      <alignment/>
      <protection/>
    </xf>
    <xf numFmtId="0" fontId="8" fillId="0" borderId="0" xfId="0" applyFont="1" applyFill="1" applyAlignment="1" applyProtection="1">
      <alignment/>
      <protection/>
    </xf>
    <xf numFmtId="0" fontId="25" fillId="0" borderId="0" xfId="0" applyFont="1" applyAlignment="1">
      <alignment/>
    </xf>
    <xf numFmtId="0" fontId="25" fillId="0" borderId="0" xfId="0" applyFont="1" applyFill="1" applyAlignment="1">
      <alignment/>
    </xf>
    <xf numFmtId="0" fontId="26" fillId="0" borderId="0" xfId="0" applyFont="1" applyAlignment="1">
      <alignment/>
    </xf>
    <xf numFmtId="0" fontId="25" fillId="0" borderId="0" xfId="0" applyFont="1" applyFill="1" applyAlignment="1">
      <alignment/>
    </xf>
    <xf numFmtId="0" fontId="25" fillId="0" borderId="0" xfId="0" applyFont="1" applyFill="1" applyAlignment="1">
      <alignment horizontal="left"/>
    </xf>
    <xf numFmtId="0" fontId="4" fillId="0" borderId="0" xfId="0" applyFont="1" applyAlignment="1">
      <alignment horizontal="justify" vertical="top" wrapText="1"/>
    </xf>
    <xf numFmtId="0" fontId="4" fillId="0" borderId="0" xfId="0" applyFont="1" applyAlignment="1">
      <alignment vertical="top" wrapText="1"/>
    </xf>
    <xf numFmtId="0" fontId="4" fillId="0" borderId="0" xfId="0" applyFont="1" applyAlignment="1">
      <alignment horizontal="justify" vertical="top" wrapText="1" shrinkToFit="1"/>
    </xf>
    <xf numFmtId="0" fontId="4" fillId="0" borderId="0" xfId="0" applyFont="1" applyAlignment="1">
      <alignment vertical="top" wrapText="1" shrinkToFit="1"/>
    </xf>
    <xf numFmtId="0" fontId="16" fillId="0" borderId="0" xfId="0" applyFont="1" applyAlignment="1">
      <alignment horizontal="center"/>
    </xf>
    <xf numFmtId="0" fontId="4" fillId="0" borderId="0" xfId="0" applyFont="1" applyAlignment="1">
      <alignment horizontal="center"/>
    </xf>
    <xf numFmtId="184" fontId="5" fillId="0" borderId="0" xfId="15" applyNumberFormat="1" applyFont="1" applyAlignment="1">
      <alignment horizontal="center"/>
    </xf>
    <xf numFmtId="184" fontId="4" fillId="0" borderId="0" xfId="15" applyNumberFormat="1" applyFont="1" applyAlignment="1">
      <alignment horizontal="center"/>
    </xf>
    <xf numFmtId="0" fontId="21" fillId="0" borderId="0" xfId="0" applyFont="1" applyBorder="1" applyAlignment="1">
      <alignment horizontal="justify" vertical="top" wrapText="1"/>
    </xf>
    <xf numFmtId="0" fontId="8" fillId="0" borderId="0" xfId="0" applyFont="1" applyAlignment="1">
      <alignment horizont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9"/>
  <sheetViews>
    <sheetView tabSelected="1" workbookViewId="0" topLeftCell="A1">
      <selection activeCell="A2" sqref="A2"/>
    </sheetView>
  </sheetViews>
  <sheetFormatPr defaultColWidth="9.00390625" defaultRowHeight="16.5"/>
  <cols>
    <col min="1" max="1" width="46.875" style="3" customWidth="1"/>
    <col min="2" max="4" width="9.00390625" style="3" customWidth="1"/>
    <col min="5" max="5" width="16.125" style="3" customWidth="1"/>
    <col min="6" max="16384" width="9.00390625" style="3" customWidth="1"/>
  </cols>
  <sheetData>
    <row r="1" spans="1:5" ht="18">
      <c r="A1" s="121" t="s">
        <v>154</v>
      </c>
      <c r="B1" s="122"/>
      <c r="C1" s="122"/>
      <c r="D1" s="122"/>
      <c r="E1" s="122"/>
    </row>
    <row r="3" ht="15.75">
      <c r="A3" s="86" t="s">
        <v>155</v>
      </c>
    </row>
    <row r="4" ht="15">
      <c r="A4" s="87"/>
    </row>
    <row r="5" spans="1:5" ht="33" customHeight="1">
      <c r="A5" s="119" t="s">
        <v>156</v>
      </c>
      <c r="B5" s="120"/>
      <c r="C5" s="120"/>
      <c r="D5" s="120"/>
      <c r="E5" s="120"/>
    </row>
    <row r="6" ht="15">
      <c r="A6" s="87"/>
    </row>
    <row r="7" spans="1:5" s="88" customFormat="1" ht="145.5" customHeight="1">
      <c r="A7" s="117" t="s">
        <v>43</v>
      </c>
      <c r="B7" s="118"/>
      <c r="C7" s="118"/>
      <c r="D7" s="118"/>
      <c r="E7" s="118"/>
    </row>
    <row r="8" ht="15">
      <c r="A8" s="87"/>
    </row>
    <row r="9" spans="1:5" s="88" customFormat="1" ht="71.25" customHeight="1">
      <c r="A9" s="117" t="s">
        <v>44</v>
      </c>
      <c r="B9" s="118"/>
      <c r="C9" s="118"/>
      <c r="D9" s="118"/>
      <c r="E9" s="118"/>
    </row>
  </sheetData>
  <sheetProtection password="CA09" sheet="1" objects="1" scenarios="1"/>
  <mergeCells count="4">
    <mergeCell ref="A9:E9"/>
    <mergeCell ref="A5:E5"/>
    <mergeCell ref="A7:E7"/>
    <mergeCell ref="A1:E1"/>
  </mergeCells>
  <printOptions/>
  <pageMargins left="0.54" right="0.42"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45"/>
  <sheetViews>
    <sheetView zoomScale="70" zoomScaleNormal="70" workbookViewId="0" topLeftCell="A1">
      <selection activeCell="A3" sqref="A3"/>
    </sheetView>
  </sheetViews>
  <sheetFormatPr defaultColWidth="9.00390625" defaultRowHeight="16.5"/>
  <cols>
    <col min="1" max="1" width="48.125" style="3" customWidth="1"/>
    <col min="2" max="2" width="9.375" style="7" customWidth="1"/>
    <col min="3" max="7" width="12.625" style="2" customWidth="1"/>
    <col min="8" max="8" width="13.75390625" style="2" customWidth="1"/>
    <col min="9" max="12" width="13.625" style="2" customWidth="1"/>
    <col min="13" max="16384" width="9.00390625" style="3" customWidth="1"/>
  </cols>
  <sheetData>
    <row r="1" spans="1:2" ht="15.75">
      <c r="A1" s="81" t="s">
        <v>141</v>
      </c>
      <c r="B1" s="1"/>
    </row>
    <row r="2" spans="1:2" ht="15.75">
      <c r="A2" s="4" t="s">
        <v>62</v>
      </c>
      <c r="B2" s="1"/>
    </row>
    <row r="3" spans="1:2" ht="15.75">
      <c r="A3" s="4"/>
      <c r="B3" s="1"/>
    </row>
    <row r="4" spans="1:12" ht="16.5">
      <c r="A4" s="4"/>
      <c r="B4" s="1" t="s">
        <v>136</v>
      </c>
      <c r="C4" s="123" t="s">
        <v>79</v>
      </c>
      <c r="D4" s="124"/>
      <c r="E4" s="124"/>
      <c r="F4" s="124"/>
      <c r="G4" s="124"/>
      <c r="H4" s="124"/>
      <c r="I4" s="124"/>
      <c r="J4" s="124"/>
      <c r="K4" s="124"/>
      <c r="L4" s="124"/>
    </row>
    <row r="5" spans="2:12" ht="16.5">
      <c r="B5" s="5"/>
      <c r="C5" s="6">
        <v>1</v>
      </c>
      <c r="D5" s="6">
        <v>0.9</v>
      </c>
      <c r="E5" s="6">
        <v>0.8</v>
      </c>
      <c r="F5" s="6">
        <v>0.7</v>
      </c>
      <c r="G5" s="6">
        <v>0.6</v>
      </c>
      <c r="H5" s="6">
        <v>0.5</v>
      </c>
      <c r="I5" s="6">
        <v>0.4</v>
      </c>
      <c r="J5" s="6">
        <v>0.3</v>
      </c>
      <c r="K5" s="6">
        <v>0.2</v>
      </c>
      <c r="L5" s="6">
        <v>0.1</v>
      </c>
    </row>
    <row r="6" ht="15.75">
      <c r="A6" s="4" t="s">
        <v>63</v>
      </c>
    </row>
    <row r="7" spans="1:12" ht="15.75">
      <c r="A7" s="3" t="s">
        <v>48</v>
      </c>
      <c r="B7" s="1">
        <v>1</v>
      </c>
      <c r="C7" s="58">
        <v>88</v>
      </c>
      <c r="D7" s="2" t="s">
        <v>53</v>
      </c>
      <c r="E7" s="2" t="s">
        <v>53</v>
      </c>
      <c r="F7" s="2" t="s">
        <v>53</v>
      </c>
      <c r="G7" s="2" t="s">
        <v>53</v>
      </c>
      <c r="H7" s="2" t="s">
        <v>53</v>
      </c>
      <c r="I7" s="2" t="s">
        <v>53</v>
      </c>
      <c r="J7" s="2" t="s">
        <v>53</v>
      </c>
      <c r="K7" s="2" t="s">
        <v>53</v>
      </c>
      <c r="L7" s="2" t="s">
        <v>53</v>
      </c>
    </row>
    <row r="8" spans="1:12" ht="15.75">
      <c r="A8" s="3" t="s">
        <v>49</v>
      </c>
      <c r="B8" s="1">
        <v>2</v>
      </c>
      <c r="C8" s="59">
        <v>35</v>
      </c>
      <c r="D8" s="2" t="s">
        <v>53</v>
      </c>
      <c r="E8" s="2" t="s">
        <v>53</v>
      </c>
      <c r="F8" s="2" t="s">
        <v>53</v>
      </c>
      <c r="G8" s="2" t="s">
        <v>53</v>
      </c>
      <c r="H8" s="2" t="s">
        <v>53</v>
      </c>
      <c r="I8" s="2" t="s">
        <v>53</v>
      </c>
      <c r="J8" s="2" t="s">
        <v>53</v>
      </c>
      <c r="K8" s="2" t="s">
        <v>53</v>
      </c>
      <c r="L8" s="2" t="s">
        <v>53</v>
      </c>
    </row>
    <row r="9" spans="1:12" ht="15.75">
      <c r="A9" s="3" t="s">
        <v>64</v>
      </c>
      <c r="B9" s="1">
        <v>3</v>
      </c>
      <c r="C9" s="60">
        <v>2880</v>
      </c>
      <c r="D9" s="8" t="s">
        <v>53</v>
      </c>
      <c r="E9" s="8" t="s">
        <v>53</v>
      </c>
      <c r="F9" s="8" t="s">
        <v>53</v>
      </c>
      <c r="G9" s="8" t="s">
        <v>53</v>
      </c>
      <c r="H9" s="8" t="s">
        <v>53</v>
      </c>
      <c r="I9" s="8" t="s">
        <v>53</v>
      </c>
      <c r="J9" s="8" t="s">
        <v>53</v>
      </c>
      <c r="K9" s="8" t="s">
        <v>53</v>
      </c>
      <c r="L9" s="8" t="s">
        <v>53</v>
      </c>
    </row>
    <row r="10" spans="1:12" ht="15.75">
      <c r="A10" s="3" t="s">
        <v>65</v>
      </c>
      <c r="C10" s="2">
        <f>C7*C8*C9</f>
        <v>8870400</v>
      </c>
      <c r="D10" s="9">
        <f aca="true" t="shared" si="0" ref="D10:L10">$C$10*D5</f>
        <v>7983360</v>
      </c>
      <c r="E10" s="9">
        <f t="shared" si="0"/>
        <v>7096320</v>
      </c>
      <c r="F10" s="9">
        <f t="shared" si="0"/>
        <v>6209280</v>
      </c>
      <c r="G10" s="9">
        <f t="shared" si="0"/>
        <v>5322240</v>
      </c>
      <c r="H10" s="9">
        <f t="shared" si="0"/>
        <v>4435200</v>
      </c>
      <c r="I10" s="9">
        <f t="shared" si="0"/>
        <v>3548160</v>
      </c>
      <c r="J10" s="9">
        <f t="shared" si="0"/>
        <v>2661120</v>
      </c>
      <c r="K10" s="9">
        <f t="shared" si="0"/>
        <v>1774080</v>
      </c>
      <c r="L10" s="9">
        <f t="shared" si="0"/>
        <v>887040</v>
      </c>
    </row>
    <row r="11" ht="15.75">
      <c r="A11" s="4"/>
    </row>
    <row r="12" spans="1:12" ht="15.75">
      <c r="A12" s="4" t="s">
        <v>66</v>
      </c>
      <c r="B12" s="1">
        <v>4</v>
      </c>
      <c r="C12" s="2">
        <f aca="true" t="shared" si="1" ref="C12:L12">C37*C10</f>
        <v>6209280</v>
      </c>
      <c r="D12" s="2">
        <f t="shared" si="1"/>
        <v>5588352</v>
      </c>
      <c r="E12" s="2">
        <f t="shared" si="1"/>
        <v>4967424</v>
      </c>
      <c r="F12" s="2">
        <f t="shared" si="1"/>
        <v>4346496</v>
      </c>
      <c r="G12" s="2">
        <f t="shared" si="1"/>
        <v>3725567.9999999995</v>
      </c>
      <c r="H12" s="2">
        <f t="shared" si="1"/>
        <v>3104640</v>
      </c>
      <c r="I12" s="2">
        <f t="shared" si="1"/>
        <v>2483712</v>
      </c>
      <c r="J12" s="2">
        <f t="shared" si="1"/>
        <v>1862783.9999999998</v>
      </c>
      <c r="K12" s="2">
        <f t="shared" si="1"/>
        <v>1241856</v>
      </c>
      <c r="L12" s="2">
        <f t="shared" si="1"/>
        <v>620928</v>
      </c>
    </row>
    <row r="13" ht="15.75">
      <c r="A13" s="4" t="s">
        <v>67</v>
      </c>
    </row>
    <row r="14" spans="1:2" ht="15.75">
      <c r="A14" s="85" t="s">
        <v>117</v>
      </c>
      <c r="B14" s="1">
        <v>5</v>
      </c>
    </row>
    <row r="15" spans="1:12" ht="15.75">
      <c r="A15" s="3" t="s">
        <v>142</v>
      </c>
      <c r="C15" s="58">
        <v>1920000</v>
      </c>
      <c r="D15" s="2">
        <f aca="true" t="shared" si="2" ref="D15:L23">C15</f>
        <v>1920000</v>
      </c>
      <c r="E15" s="2">
        <f t="shared" si="2"/>
        <v>1920000</v>
      </c>
      <c r="F15" s="2">
        <f t="shared" si="2"/>
        <v>1920000</v>
      </c>
      <c r="G15" s="2">
        <f t="shared" si="2"/>
        <v>1920000</v>
      </c>
      <c r="H15" s="2">
        <f t="shared" si="2"/>
        <v>1920000</v>
      </c>
      <c r="I15" s="2">
        <f t="shared" si="2"/>
        <v>1920000</v>
      </c>
      <c r="J15" s="2">
        <f t="shared" si="2"/>
        <v>1920000</v>
      </c>
      <c r="K15" s="2">
        <f t="shared" si="2"/>
        <v>1920000</v>
      </c>
      <c r="L15" s="2">
        <f t="shared" si="2"/>
        <v>1920000</v>
      </c>
    </row>
    <row r="16" spans="1:12" ht="15.75">
      <c r="A16" s="3" t="s">
        <v>68</v>
      </c>
      <c r="C16" s="58">
        <v>1440000</v>
      </c>
      <c r="D16" s="2">
        <f t="shared" si="2"/>
        <v>1440000</v>
      </c>
      <c r="E16" s="2">
        <f t="shared" si="2"/>
        <v>1440000</v>
      </c>
      <c r="F16" s="2">
        <f t="shared" si="2"/>
        <v>1440000</v>
      </c>
      <c r="G16" s="2">
        <f t="shared" si="2"/>
        <v>1440000</v>
      </c>
      <c r="H16" s="2">
        <f t="shared" si="2"/>
        <v>1440000</v>
      </c>
      <c r="I16" s="2">
        <f t="shared" si="2"/>
        <v>1440000</v>
      </c>
      <c r="J16" s="2">
        <f t="shared" si="2"/>
        <v>1440000</v>
      </c>
      <c r="K16" s="2">
        <f t="shared" si="2"/>
        <v>1440000</v>
      </c>
      <c r="L16" s="2">
        <f t="shared" si="2"/>
        <v>1440000</v>
      </c>
    </row>
    <row r="17" spans="1:12" ht="15.75">
      <c r="A17" s="3" t="s">
        <v>69</v>
      </c>
      <c r="B17" s="3"/>
      <c r="C17" s="58">
        <v>240000</v>
      </c>
      <c r="D17" s="2">
        <f aca="true" t="shared" si="3" ref="D17:L17">C17</f>
        <v>240000</v>
      </c>
      <c r="E17" s="2">
        <f t="shared" si="3"/>
        <v>240000</v>
      </c>
      <c r="F17" s="2">
        <f t="shared" si="3"/>
        <v>240000</v>
      </c>
      <c r="G17" s="2">
        <f t="shared" si="3"/>
        <v>240000</v>
      </c>
      <c r="H17" s="2">
        <f t="shared" si="3"/>
        <v>240000</v>
      </c>
      <c r="I17" s="2">
        <f t="shared" si="3"/>
        <v>240000</v>
      </c>
      <c r="J17" s="2">
        <f t="shared" si="3"/>
        <v>240000</v>
      </c>
      <c r="K17" s="2">
        <f t="shared" si="3"/>
        <v>240000</v>
      </c>
      <c r="L17" s="2">
        <f t="shared" si="3"/>
        <v>240000</v>
      </c>
    </row>
    <row r="18" spans="1:12" ht="15.75">
      <c r="A18" s="3" t="s">
        <v>70</v>
      </c>
      <c r="B18" s="1">
        <v>6</v>
      </c>
      <c r="C18" s="80">
        <f>0.05*(SUM(C15,C16,C17))</f>
        <v>180000</v>
      </c>
      <c r="D18" s="61">
        <f aca="true" t="shared" si="4" ref="D18:L18">C18</f>
        <v>180000</v>
      </c>
      <c r="E18" s="61">
        <f t="shared" si="4"/>
        <v>180000</v>
      </c>
      <c r="F18" s="61">
        <f t="shared" si="4"/>
        <v>180000</v>
      </c>
      <c r="G18" s="61">
        <f t="shared" si="4"/>
        <v>180000</v>
      </c>
      <c r="H18" s="61">
        <f t="shared" si="4"/>
        <v>180000</v>
      </c>
      <c r="I18" s="61">
        <f t="shared" si="4"/>
        <v>180000</v>
      </c>
      <c r="J18" s="61">
        <f t="shared" si="4"/>
        <v>180000</v>
      </c>
      <c r="K18" s="61">
        <f t="shared" si="4"/>
        <v>180000</v>
      </c>
      <c r="L18" s="61">
        <f t="shared" si="4"/>
        <v>180000</v>
      </c>
    </row>
    <row r="19" spans="1:2" ht="15.75">
      <c r="A19" s="85" t="s">
        <v>157</v>
      </c>
      <c r="B19" s="1">
        <v>7</v>
      </c>
    </row>
    <row r="20" spans="1:12" ht="15.75">
      <c r="A20" s="3" t="s">
        <v>143</v>
      </c>
      <c r="C20" s="58">
        <v>60000</v>
      </c>
      <c r="D20" s="2">
        <f t="shared" si="2"/>
        <v>60000</v>
      </c>
      <c r="E20" s="2">
        <f t="shared" si="2"/>
        <v>60000</v>
      </c>
      <c r="F20" s="2">
        <f t="shared" si="2"/>
        <v>60000</v>
      </c>
      <c r="G20" s="2">
        <f t="shared" si="2"/>
        <v>60000</v>
      </c>
      <c r="H20" s="2">
        <f t="shared" si="2"/>
        <v>60000</v>
      </c>
      <c r="I20" s="2">
        <f t="shared" si="2"/>
        <v>60000</v>
      </c>
      <c r="J20" s="2">
        <f t="shared" si="2"/>
        <v>60000</v>
      </c>
      <c r="K20" s="2">
        <f t="shared" si="2"/>
        <v>60000</v>
      </c>
      <c r="L20" s="2">
        <f t="shared" si="2"/>
        <v>60000</v>
      </c>
    </row>
    <row r="21" spans="1:12" ht="15.75">
      <c r="A21" s="3" t="s">
        <v>71</v>
      </c>
      <c r="B21" s="1">
        <v>8</v>
      </c>
      <c r="C21" s="58">
        <v>30000</v>
      </c>
      <c r="D21" s="2">
        <f t="shared" si="2"/>
        <v>30000</v>
      </c>
      <c r="E21" s="2">
        <f t="shared" si="2"/>
        <v>30000</v>
      </c>
      <c r="F21" s="2">
        <f t="shared" si="2"/>
        <v>30000</v>
      </c>
      <c r="G21" s="2">
        <f t="shared" si="2"/>
        <v>30000</v>
      </c>
      <c r="H21" s="2">
        <f t="shared" si="2"/>
        <v>30000</v>
      </c>
      <c r="I21" s="2">
        <f t="shared" si="2"/>
        <v>30000</v>
      </c>
      <c r="J21" s="2">
        <f t="shared" si="2"/>
        <v>30000</v>
      </c>
      <c r="K21" s="2">
        <f t="shared" si="2"/>
        <v>30000</v>
      </c>
      <c r="L21" s="2">
        <f t="shared" si="2"/>
        <v>30000</v>
      </c>
    </row>
    <row r="22" spans="1:12" ht="15.75">
      <c r="A22" s="3" t="s">
        <v>72</v>
      </c>
      <c r="B22" s="1"/>
      <c r="C22" s="58">
        <v>0</v>
      </c>
      <c r="D22" s="2">
        <f t="shared" si="2"/>
        <v>0</v>
      </c>
      <c r="E22" s="2">
        <f t="shared" si="2"/>
        <v>0</v>
      </c>
      <c r="F22" s="2">
        <f t="shared" si="2"/>
        <v>0</v>
      </c>
      <c r="G22" s="2">
        <f t="shared" si="2"/>
        <v>0</v>
      </c>
      <c r="H22" s="2">
        <f t="shared" si="2"/>
        <v>0</v>
      </c>
      <c r="I22" s="2">
        <f t="shared" si="2"/>
        <v>0</v>
      </c>
      <c r="J22" s="2">
        <f t="shared" si="2"/>
        <v>0</v>
      </c>
      <c r="K22" s="2">
        <f t="shared" si="2"/>
        <v>0</v>
      </c>
      <c r="L22" s="2">
        <f t="shared" si="2"/>
        <v>0</v>
      </c>
    </row>
    <row r="23" spans="1:12" ht="15.75">
      <c r="A23" s="3" t="s">
        <v>144</v>
      </c>
      <c r="C23" s="58">
        <v>7500</v>
      </c>
      <c r="D23" s="2">
        <f t="shared" si="2"/>
        <v>7500</v>
      </c>
      <c r="E23" s="2">
        <f t="shared" si="2"/>
        <v>7500</v>
      </c>
      <c r="F23" s="2">
        <f t="shared" si="2"/>
        <v>7500</v>
      </c>
      <c r="G23" s="2">
        <f t="shared" si="2"/>
        <v>7500</v>
      </c>
      <c r="H23" s="2">
        <f t="shared" si="2"/>
        <v>7500</v>
      </c>
      <c r="I23" s="2">
        <f t="shared" si="2"/>
        <v>7500</v>
      </c>
      <c r="J23" s="2">
        <f t="shared" si="2"/>
        <v>7500</v>
      </c>
      <c r="K23" s="2">
        <f t="shared" si="2"/>
        <v>7500</v>
      </c>
      <c r="L23" s="2">
        <f t="shared" si="2"/>
        <v>7500</v>
      </c>
    </row>
    <row r="24" spans="1:12" ht="15.75">
      <c r="A24" s="85" t="s">
        <v>73</v>
      </c>
      <c r="B24" s="1">
        <v>9</v>
      </c>
      <c r="C24" s="8">
        <f>'Initial capital &amp; Payback'!D6/'Initial capital &amp; Payback'!E6+'Initial capital &amp; Payback'!D7/'Initial capital &amp; Payback'!E7+'Initial capital &amp; Payback'!D8/'Initial capital &amp; Payback'!E8+'Initial capital &amp; Payback'!D9/'Initial capital &amp; Payback'!E9</f>
        <v>400000</v>
      </c>
      <c r="D24" s="8">
        <f>C24</f>
        <v>400000</v>
      </c>
      <c r="E24" s="8">
        <f>C24</f>
        <v>400000</v>
      </c>
      <c r="F24" s="8">
        <f>C24</f>
        <v>400000</v>
      </c>
      <c r="G24" s="8">
        <f>C24</f>
        <v>400000</v>
      </c>
      <c r="H24" s="8">
        <f>C24</f>
        <v>400000</v>
      </c>
      <c r="I24" s="8">
        <f>C24</f>
        <v>400000</v>
      </c>
      <c r="J24" s="8">
        <f>C24</f>
        <v>400000</v>
      </c>
      <c r="K24" s="8">
        <f>C24</f>
        <v>400000</v>
      </c>
      <c r="L24" s="8">
        <f>C24</f>
        <v>400000</v>
      </c>
    </row>
    <row r="25" spans="1:12" ht="15.75">
      <c r="A25" s="4" t="s">
        <v>74</v>
      </c>
      <c r="C25" s="2">
        <f>C12-SUM(C15:C24)</f>
        <v>1931780</v>
      </c>
      <c r="D25" s="2">
        <f aca="true" t="shared" si="5" ref="D25:L25">D12-SUM(D15:D24)</f>
        <v>1310852</v>
      </c>
      <c r="E25" s="2">
        <f t="shared" si="5"/>
        <v>689924</v>
      </c>
      <c r="F25" s="2">
        <f t="shared" si="5"/>
        <v>68996</v>
      </c>
      <c r="G25" s="2">
        <f t="shared" si="5"/>
        <v>-551932.0000000005</v>
      </c>
      <c r="H25" s="2">
        <f t="shared" si="5"/>
        <v>-1172860</v>
      </c>
      <c r="I25" s="2">
        <f t="shared" si="5"/>
        <v>-1793788</v>
      </c>
      <c r="J25" s="2">
        <f t="shared" si="5"/>
        <v>-2414716</v>
      </c>
      <c r="K25" s="2">
        <f t="shared" si="5"/>
        <v>-3035644</v>
      </c>
      <c r="L25" s="2">
        <f t="shared" si="5"/>
        <v>-3656572</v>
      </c>
    </row>
    <row r="26" spans="1:12" ht="15.75">
      <c r="A26" s="3" t="s">
        <v>75</v>
      </c>
      <c r="B26" s="1">
        <v>10</v>
      </c>
      <c r="C26" s="60">
        <v>0</v>
      </c>
      <c r="D26" s="60">
        <v>0</v>
      </c>
      <c r="E26" s="60">
        <v>0</v>
      </c>
      <c r="F26" s="60">
        <v>0</v>
      </c>
      <c r="G26" s="60">
        <v>0</v>
      </c>
      <c r="H26" s="60">
        <v>50738</v>
      </c>
      <c r="I26" s="60">
        <v>119730</v>
      </c>
      <c r="J26" s="60">
        <v>188722</v>
      </c>
      <c r="K26" s="60">
        <v>257714</v>
      </c>
      <c r="L26" s="60">
        <v>326706</v>
      </c>
    </row>
    <row r="27" spans="1:12" ht="15.75">
      <c r="A27" s="4" t="s">
        <v>76</v>
      </c>
      <c r="C27" s="2">
        <f aca="true" t="shared" si="6" ref="C27:L27">C25-C26</f>
        <v>1931780</v>
      </c>
      <c r="D27" s="2">
        <f t="shared" si="6"/>
        <v>1310852</v>
      </c>
      <c r="E27" s="2">
        <f t="shared" si="6"/>
        <v>689924</v>
      </c>
      <c r="F27" s="2">
        <f t="shared" si="6"/>
        <v>68996</v>
      </c>
      <c r="G27" s="2">
        <f t="shared" si="6"/>
        <v>-551932.0000000005</v>
      </c>
      <c r="H27" s="2">
        <f t="shared" si="6"/>
        <v>-1223598</v>
      </c>
      <c r="I27" s="2">
        <f t="shared" si="6"/>
        <v>-1913518</v>
      </c>
      <c r="J27" s="2">
        <f t="shared" si="6"/>
        <v>-2603438</v>
      </c>
      <c r="K27" s="2">
        <f t="shared" si="6"/>
        <v>-3293358</v>
      </c>
      <c r="L27" s="2">
        <f t="shared" si="6"/>
        <v>-3983278</v>
      </c>
    </row>
    <row r="28" spans="1:12" ht="15.75">
      <c r="A28" s="3" t="s">
        <v>77</v>
      </c>
      <c r="B28" s="1">
        <v>11</v>
      </c>
      <c r="C28" s="2">
        <f aca="true" t="shared" si="7" ref="C28:L28">IF(C27&lt;0,0,C27*0.175)</f>
        <v>338061.5</v>
      </c>
      <c r="D28" s="2">
        <f t="shared" si="7"/>
        <v>229399.09999999998</v>
      </c>
      <c r="E28" s="2">
        <f t="shared" si="7"/>
        <v>120736.7</v>
      </c>
      <c r="F28" s="2">
        <f t="shared" si="7"/>
        <v>12074.3</v>
      </c>
      <c r="G28" s="2">
        <f t="shared" si="7"/>
        <v>0</v>
      </c>
      <c r="H28" s="2">
        <f t="shared" si="7"/>
        <v>0</v>
      </c>
      <c r="I28" s="2">
        <f t="shared" si="7"/>
        <v>0</v>
      </c>
      <c r="J28" s="2">
        <f t="shared" si="7"/>
        <v>0</v>
      </c>
      <c r="K28" s="2">
        <f t="shared" si="7"/>
        <v>0</v>
      </c>
      <c r="L28" s="2">
        <f t="shared" si="7"/>
        <v>0</v>
      </c>
    </row>
    <row r="29" spans="1:12" ht="16.5" thickBot="1">
      <c r="A29" s="4" t="s">
        <v>78</v>
      </c>
      <c r="C29" s="10">
        <f aca="true" t="shared" si="8" ref="C29:L29">C27-C28</f>
        <v>1593718.5</v>
      </c>
      <c r="D29" s="10">
        <f t="shared" si="8"/>
        <v>1081452.9</v>
      </c>
      <c r="E29" s="10">
        <f t="shared" si="8"/>
        <v>569187.3</v>
      </c>
      <c r="F29" s="10">
        <f t="shared" si="8"/>
        <v>56921.7</v>
      </c>
      <c r="G29" s="10">
        <f t="shared" si="8"/>
        <v>-551932.0000000005</v>
      </c>
      <c r="H29" s="10">
        <f t="shared" si="8"/>
        <v>-1223598</v>
      </c>
      <c r="I29" s="10">
        <f t="shared" si="8"/>
        <v>-1913518</v>
      </c>
      <c r="J29" s="10">
        <f t="shared" si="8"/>
        <v>-2603438</v>
      </c>
      <c r="K29" s="10">
        <f t="shared" si="8"/>
        <v>-3293358</v>
      </c>
      <c r="L29" s="10">
        <f t="shared" si="8"/>
        <v>-3983278</v>
      </c>
    </row>
    <row r="30" ht="16.5" thickTop="1"/>
    <row r="31" ht="15.75"/>
    <row r="32" ht="15.75"/>
    <row r="33" ht="15.75">
      <c r="A33" s="4" t="s">
        <v>139</v>
      </c>
    </row>
    <row r="34" ht="15.75"/>
    <row r="35" spans="2:12" ht="15.75" customHeight="1">
      <c r="B35" s="1"/>
      <c r="C35" s="11">
        <v>1</v>
      </c>
      <c r="D35" s="11">
        <v>0.9</v>
      </c>
      <c r="E35" s="11">
        <v>0.8</v>
      </c>
      <c r="F35" s="11">
        <v>0.7</v>
      </c>
      <c r="G35" s="11">
        <v>0.6</v>
      </c>
      <c r="H35" s="11">
        <v>0.5</v>
      </c>
      <c r="I35" s="11">
        <v>0.4</v>
      </c>
      <c r="J35" s="11">
        <v>0.3</v>
      </c>
      <c r="K35" s="11">
        <v>0.2</v>
      </c>
      <c r="L35" s="11">
        <v>0.1</v>
      </c>
    </row>
    <row r="36" spans="3:12" ht="15.75">
      <c r="C36" s="12"/>
      <c r="D36" s="12"/>
      <c r="E36" s="12"/>
      <c r="F36" s="12"/>
      <c r="G36" s="12"/>
      <c r="H36" s="12"/>
      <c r="I36" s="12"/>
      <c r="J36" s="12"/>
      <c r="K36" s="12"/>
      <c r="L36" s="12"/>
    </row>
    <row r="37" spans="1:12" ht="15.75">
      <c r="A37" s="3" t="s">
        <v>119</v>
      </c>
      <c r="B37" s="1">
        <v>12</v>
      </c>
      <c r="C37" s="62">
        <v>0.7</v>
      </c>
      <c r="D37" s="11">
        <f aca="true" t="shared" si="9" ref="D37:L37">C37</f>
        <v>0.7</v>
      </c>
      <c r="E37" s="11">
        <f t="shared" si="9"/>
        <v>0.7</v>
      </c>
      <c r="F37" s="11">
        <f t="shared" si="9"/>
        <v>0.7</v>
      </c>
      <c r="G37" s="11">
        <f t="shared" si="9"/>
        <v>0.7</v>
      </c>
      <c r="H37" s="11">
        <f t="shared" si="9"/>
        <v>0.7</v>
      </c>
      <c r="I37" s="11">
        <f t="shared" si="9"/>
        <v>0.7</v>
      </c>
      <c r="J37" s="11">
        <f t="shared" si="9"/>
        <v>0.7</v>
      </c>
      <c r="K37" s="11">
        <f t="shared" si="9"/>
        <v>0.7</v>
      </c>
      <c r="L37" s="11">
        <f t="shared" si="9"/>
        <v>0.7</v>
      </c>
    </row>
    <row r="38" spans="1:12" ht="15.75">
      <c r="A38" s="3" t="s">
        <v>120</v>
      </c>
      <c r="B38" s="1">
        <v>13</v>
      </c>
      <c r="C38" s="6">
        <f>'P&amp;L'!C25/'P&amp;L'!C10</f>
        <v>0.21777822871572872</v>
      </c>
      <c r="D38" s="6">
        <f>'P&amp;L'!D25/'P&amp;L'!D10</f>
        <v>0.16419803190636523</v>
      </c>
      <c r="E38" s="6">
        <f>'P&amp;L'!E25/'P&amp;L'!E10</f>
        <v>0.09722278589466089</v>
      </c>
      <c r="F38" s="6">
        <f>'P&amp;L'!F25/'P&amp;L'!F10</f>
        <v>0.01111175530818388</v>
      </c>
      <c r="G38" s="6">
        <f>'P&amp;L'!G25/'P&amp;L'!G10</f>
        <v>-0.10370295214045223</v>
      </c>
      <c r="H38" s="6">
        <f>'P&amp;L'!H25/'P&amp;L'!H10</f>
        <v>-0.2644435425685426</v>
      </c>
      <c r="I38" s="6">
        <f>'P&amp;L'!I25/'P&amp;L'!I10</f>
        <v>-0.5055544282106782</v>
      </c>
      <c r="J38" s="6">
        <f>'P&amp;L'!J25/'P&amp;L'!J10</f>
        <v>-0.9074059042809043</v>
      </c>
      <c r="K38" s="6">
        <f>'P&amp;L'!K25/'P&amp;L'!K10</f>
        <v>-1.7111088564213564</v>
      </c>
      <c r="L38" s="6">
        <f>'P&amp;L'!L25/'P&amp;L'!L10</f>
        <v>-4.122217712842713</v>
      </c>
    </row>
    <row r="39" spans="1:12" ht="15.75">
      <c r="A39" s="3" t="s">
        <v>140</v>
      </c>
      <c r="B39" s="1">
        <v>14</v>
      </c>
      <c r="C39" s="6">
        <f>C27/'BS'!D40</f>
        <v>0.4430748343989428</v>
      </c>
      <c r="D39" s="6">
        <f>D27/'BS'!E40</f>
        <v>0.34068677025255206</v>
      </c>
      <c r="E39" s="6">
        <f>E27/'BS'!F40</f>
        <v>0.20684836500589313</v>
      </c>
      <c r="F39" s="6">
        <f>F27/'BS'!G40</f>
        <v>0.024439420250902528</v>
      </c>
      <c r="G39" s="6">
        <f>G27/'BS'!H40</f>
        <v>-0.2492591088777368</v>
      </c>
      <c r="H39" s="6">
        <f>H27/'BS'!I40</f>
        <v>-0.5968770731707317</v>
      </c>
      <c r="I39" s="6">
        <f>I27/'BS'!J40</f>
        <v>-0.9334234146341464</v>
      </c>
      <c r="J39" s="6">
        <f>J27/'BS'!K40</f>
        <v>-1.269969756097561</v>
      </c>
      <c r="K39" s="6">
        <f>K27/'BS'!L40</f>
        <v>-1.6065160975609756</v>
      </c>
      <c r="L39" s="6">
        <f>L27/'BS'!M40</f>
        <v>-1.9430624390243902</v>
      </c>
    </row>
    <row r="40" spans="1:12" ht="15.75">
      <c r="A40" s="3" t="s">
        <v>50</v>
      </c>
      <c r="B40" s="1">
        <v>15</v>
      </c>
      <c r="C40" s="6">
        <f>C29/SUM('BS'!D37:D38)</f>
        <v>0.3655367383791278</v>
      </c>
      <c r="D40" s="6">
        <f>D29/SUM('BS'!E37:E38)</f>
        <v>0.28106658545835544</v>
      </c>
      <c r="E40" s="6">
        <f>E29/SUM('BS'!F37:F38)</f>
        <v>0.17064990112986184</v>
      </c>
      <c r="F40" s="6">
        <f>F29/SUM('BS'!G37:G38)</f>
        <v>0.020162521706994584</v>
      </c>
      <c r="G40" s="6">
        <f>G29/SUM('BS'!H37:H38)</f>
        <v>-0.2492591088777368</v>
      </c>
      <c r="H40" s="6">
        <f>H29/SUM('BS'!I37:I38)</f>
        <v>-0.7931925393880057</v>
      </c>
      <c r="I40" s="6">
        <f>I29/SUM('BS'!J37:J38)</f>
        <v>-2.2440583949795436</v>
      </c>
      <c r="J40" s="6">
        <f>J29/SUM('BS'!K37:K38)</f>
        <v>-15.993186878400063</v>
      </c>
      <c r="K40" s="6">
        <f>K29/SUM('BS'!L37:L38)</f>
        <v>6.247646144787517</v>
      </c>
      <c r="L40" s="6">
        <f>L29/SUM('BS'!M37:M38)</f>
        <v>3.272880317483893</v>
      </c>
    </row>
    <row r="41" spans="1:12" ht="15.75">
      <c r="A41" s="3" t="s">
        <v>121</v>
      </c>
      <c r="B41" s="1">
        <v>16</v>
      </c>
      <c r="C41" s="62">
        <v>0.1</v>
      </c>
      <c r="D41" s="11">
        <f aca="true" t="shared" si="10" ref="D41:L41">C41</f>
        <v>0.1</v>
      </c>
      <c r="E41" s="11">
        <f t="shared" si="10"/>
        <v>0.1</v>
      </c>
      <c r="F41" s="11">
        <f t="shared" si="10"/>
        <v>0.1</v>
      </c>
      <c r="G41" s="11">
        <f t="shared" si="10"/>
        <v>0.1</v>
      </c>
      <c r="H41" s="11">
        <f t="shared" si="10"/>
        <v>0.1</v>
      </c>
      <c r="I41" s="11">
        <f t="shared" si="10"/>
        <v>0.1</v>
      </c>
      <c r="J41" s="11">
        <f t="shared" si="10"/>
        <v>0.1</v>
      </c>
      <c r="K41" s="11">
        <f t="shared" si="10"/>
        <v>0.1</v>
      </c>
      <c r="L41" s="11">
        <f t="shared" si="10"/>
        <v>0.1</v>
      </c>
    </row>
    <row r="42" ht="15.75"/>
    <row r="43" spans="1:12" ht="15.75">
      <c r="A43" s="3" t="s">
        <v>135</v>
      </c>
      <c r="C43" s="2">
        <f>IF('BS'!D39&lt;0,0,'BS'!D39*'P&amp;L'!C41)</f>
        <v>4.656612873077393E-11</v>
      </c>
      <c r="D43" s="2">
        <f>IF('BS'!E39&lt;0,0,'BS'!E39*'P&amp;L'!D41)</f>
        <v>0</v>
      </c>
      <c r="E43" s="2">
        <f>IF('BS'!F39&lt;0,0,'BS'!F39*'P&amp;L'!E41)</f>
        <v>2.3283064365386964E-11</v>
      </c>
      <c r="F43" s="2">
        <f>IF('BS'!G39&lt;0,0,'BS'!G39*'P&amp;L'!F41)</f>
        <v>1.8917489796876908E-11</v>
      </c>
      <c r="G43" s="2">
        <f>IF('BS'!H39&lt;0,0,'BS'!H39*'P&amp;L'!G41)</f>
        <v>0</v>
      </c>
      <c r="H43" s="2">
        <f>IF('BS'!I39&lt;0,0,'BS'!I39*'P&amp;L'!H41)</f>
        <v>50737.580821917814</v>
      </c>
      <c r="I43" s="2">
        <f>IF('BS'!J39&lt;0,0,'BS'!J39*'P&amp;L'!I41)</f>
        <v>119729.58082191781</v>
      </c>
      <c r="J43" s="2">
        <f>IF('BS'!K39&lt;0,0,'BS'!K39*'P&amp;L'!J41)</f>
        <v>188721.58082191783</v>
      </c>
      <c r="K43" s="2">
        <f>IF('BS'!L39&lt;0,0,'BS'!L39*'P&amp;L'!K41)</f>
        <v>257713.58082191783</v>
      </c>
      <c r="L43" s="2">
        <f>IF('BS'!M39&lt;0,0,'BS'!M39*'P&amp;L'!L41)</f>
        <v>326705.58082191786</v>
      </c>
    </row>
    <row r="44" ht="15.75"/>
    <row r="45" spans="3:12" ht="15" hidden="1">
      <c r="C45" s="2">
        <f aca="true" t="shared" si="11" ref="C45:L45">C26-C43</f>
        <v>-4.656612873077393E-11</v>
      </c>
      <c r="D45" s="2">
        <f t="shared" si="11"/>
        <v>0</v>
      </c>
      <c r="E45" s="2">
        <f t="shared" si="11"/>
        <v>-2.3283064365386964E-11</v>
      </c>
      <c r="F45" s="2">
        <f t="shared" si="11"/>
        <v>-1.8917489796876908E-11</v>
      </c>
      <c r="G45" s="2">
        <f t="shared" si="11"/>
        <v>0</v>
      </c>
      <c r="H45" s="2">
        <f t="shared" si="11"/>
        <v>0.419178082185681</v>
      </c>
      <c r="I45" s="2">
        <f t="shared" si="11"/>
        <v>0.419178082185681</v>
      </c>
      <c r="J45" s="2">
        <f t="shared" si="11"/>
        <v>0.41917808217112906</v>
      </c>
      <c r="K45" s="2">
        <f t="shared" si="11"/>
        <v>0.41917808217112906</v>
      </c>
      <c r="L45" s="2">
        <f t="shared" si="11"/>
        <v>0.41917808214202523</v>
      </c>
    </row>
    <row r="46" ht="15.75"/>
  </sheetData>
  <sheetProtection password="CA09" sheet="1" objects="1" scenarios="1"/>
  <mergeCells count="1">
    <mergeCell ref="C4:L4"/>
  </mergeCells>
  <printOptions headings="1"/>
  <pageMargins left="0.4330708661417323" right="0.31496062992125984" top="0.4330708661417323" bottom="0.4330708661417323" header="0.2755905511811024" footer="0.2755905511811024"/>
  <pageSetup horizontalDpi="600" verticalDpi="600" orientation="landscape" paperSize="9" scale="70" r:id="rId3"/>
  <legacyDrawing r:id="rId2"/>
</worksheet>
</file>

<file path=xl/worksheets/sheet3.xml><?xml version="1.0" encoding="utf-8"?>
<worksheet xmlns="http://schemas.openxmlformats.org/spreadsheetml/2006/main" xmlns:r="http://schemas.openxmlformats.org/officeDocument/2006/relationships">
  <dimension ref="A1:N43"/>
  <sheetViews>
    <sheetView zoomScale="70" zoomScaleNormal="70" workbookViewId="0" topLeftCell="A1">
      <selection activeCell="A3" sqref="A3"/>
    </sheetView>
  </sheetViews>
  <sheetFormatPr defaultColWidth="9.00390625" defaultRowHeight="16.5"/>
  <cols>
    <col min="1" max="1" width="25.50390625" style="43" bestFit="1" customWidth="1"/>
    <col min="2" max="2" width="5.875" style="41" customWidth="1"/>
    <col min="3" max="3" width="12.875" style="42" customWidth="1"/>
    <col min="4" max="4" width="11.50390625" style="37" customWidth="1"/>
    <col min="5" max="5" width="12.75390625" style="37" customWidth="1"/>
    <col min="6" max="14" width="11.625" style="37" customWidth="1"/>
    <col min="15" max="16384" width="9.00390625" style="42" customWidth="1"/>
  </cols>
  <sheetData>
    <row r="1" spans="1:6" ht="15.75">
      <c r="A1" s="81" t="s">
        <v>163</v>
      </c>
      <c r="F1" s="70"/>
    </row>
    <row r="2" spans="1:6" ht="15.75">
      <c r="A2" s="108" t="s">
        <v>87</v>
      </c>
      <c r="F2" s="71" t="s">
        <v>86</v>
      </c>
    </row>
    <row r="3" spans="1:6" ht="15.75">
      <c r="A3" s="108"/>
      <c r="E3" s="37" t="s">
        <v>85</v>
      </c>
      <c r="F3" s="71">
        <v>17</v>
      </c>
    </row>
    <row r="4" ht="15.75">
      <c r="F4" s="70"/>
    </row>
    <row r="5" spans="1:6" ht="15.75">
      <c r="A5" s="109" t="s">
        <v>80</v>
      </c>
      <c r="F5" s="71">
        <v>18</v>
      </c>
    </row>
    <row r="6" spans="1:6" ht="15.75">
      <c r="A6" s="110" t="s">
        <v>81</v>
      </c>
      <c r="D6" s="73">
        <v>2000000</v>
      </c>
      <c r="E6" s="74">
        <v>5</v>
      </c>
      <c r="F6" s="70"/>
    </row>
    <row r="7" spans="1:6" ht="15.75">
      <c r="A7" s="110" t="s">
        <v>82</v>
      </c>
      <c r="D7" s="75">
        <v>0</v>
      </c>
      <c r="E7" s="74">
        <v>3</v>
      </c>
      <c r="F7" s="70"/>
    </row>
    <row r="8" spans="1:6" ht="15.75">
      <c r="A8" s="110" t="s">
        <v>145</v>
      </c>
      <c r="D8" s="75">
        <v>0</v>
      </c>
      <c r="E8" s="74">
        <v>5</v>
      </c>
      <c r="F8" s="70"/>
    </row>
    <row r="9" spans="1:6" ht="15.75">
      <c r="A9" s="110" t="s">
        <v>83</v>
      </c>
      <c r="D9" s="75">
        <v>0</v>
      </c>
      <c r="E9" s="74">
        <v>5</v>
      </c>
      <c r="F9" s="70"/>
    </row>
    <row r="10" spans="1:6" ht="15.75">
      <c r="A10" s="110" t="s">
        <v>146</v>
      </c>
      <c r="D10" s="75">
        <v>135000</v>
      </c>
      <c r="E10" s="57"/>
      <c r="F10" s="70"/>
    </row>
    <row r="11" spans="1:6" ht="15.75">
      <c r="A11" s="110" t="s">
        <v>147</v>
      </c>
      <c r="D11" s="76">
        <v>0</v>
      </c>
      <c r="E11" s="57"/>
      <c r="F11" s="70"/>
    </row>
    <row r="12" spans="1:6" ht="15.75">
      <c r="A12" s="110"/>
      <c r="D12" s="50">
        <f>SUM(D6:D11)</f>
        <v>2135000</v>
      </c>
      <c r="F12" s="70"/>
    </row>
    <row r="13" spans="1:6" ht="15.75">
      <c r="A13" s="110"/>
      <c r="D13" s="50"/>
      <c r="F13" s="70"/>
    </row>
    <row r="14" spans="1:6" ht="15.75">
      <c r="A14" s="111" t="s">
        <v>148</v>
      </c>
      <c r="D14" s="50"/>
      <c r="F14" s="70"/>
    </row>
    <row r="15" spans="1:6" ht="15.75">
      <c r="A15" s="112" t="s">
        <v>143</v>
      </c>
      <c r="D15" s="50">
        <f>'P&amp;L'!C20</f>
        <v>60000</v>
      </c>
      <c r="F15" s="70"/>
    </row>
    <row r="16" spans="1:6" ht="15.75">
      <c r="A16" s="112" t="s">
        <v>71</v>
      </c>
      <c r="D16" s="50">
        <f>'P&amp;L'!C21</f>
        <v>30000</v>
      </c>
      <c r="F16" s="70"/>
    </row>
    <row r="17" spans="1:6" ht="15.75">
      <c r="A17" s="112" t="s">
        <v>84</v>
      </c>
      <c r="D17" s="50">
        <f>'P&amp;L'!C22</f>
        <v>0</v>
      </c>
      <c r="F17" s="70"/>
    </row>
    <row r="18" spans="1:6" ht="15.75">
      <c r="A18" s="113" t="s">
        <v>149</v>
      </c>
      <c r="D18" s="51">
        <f>'P&amp;L'!C23</f>
        <v>7500</v>
      </c>
      <c r="F18" s="70"/>
    </row>
    <row r="19" spans="1:6" ht="15.75">
      <c r="A19" s="42"/>
      <c r="D19" s="52"/>
      <c r="F19" s="70"/>
    </row>
    <row r="20" spans="1:6" ht="15.75">
      <c r="A20" s="42"/>
      <c r="D20" s="53">
        <f>SUM(D12,D15:D18)</f>
        <v>2232500</v>
      </c>
      <c r="F20" s="70"/>
    </row>
    <row r="21" spans="1:6" ht="15.75">
      <c r="A21" s="114"/>
      <c r="D21" s="38"/>
      <c r="F21" s="70"/>
    </row>
    <row r="22" spans="1:6" ht="15.75">
      <c r="A22" s="109" t="s">
        <v>88</v>
      </c>
      <c r="D22" s="39"/>
      <c r="F22" s="71">
        <v>19</v>
      </c>
    </row>
    <row r="23" spans="1:6" ht="15.75">
      <c r="A23" s="115" t="s">
        <v>164</v>
      </c>
      <c r="B23" s="77">
        <v>30</v>
      </c>
      <c r="C23" s="112" t="s">
        <v>165</v>
      </c>
      <c r="D23" s="49">
        <f>'P&amp;L'!C10*(1-'P&amp;L'!C37)*'Initial capital &amp; Payback'!B23/365</f>
        <v>218722.19178082194</v>
      </c>
      <c r="F23" s="71">
        <v>20</v>
      </c>
    </row>
    <row r="24" spans="1:6" ht="15.75">
      <c r="A24" s="116" t="s">
        <v>166</v>
      </c>
      <c r="B24" s="77">
        <v>1</v>
      </c>
      <c r="C24" s="112" t="s">
        <v>167</v>
      </c>
      <c r="D24" s="48">
        <f>('P&amp;L'!C15+'P&amp;L'!C16+'P&amp;L'!C17+'P&amp;L'!C18)/12*B24</f>
        <v>315000</v>
      </c>
      <c r="F24" s="70"/>
    </row>
    <row r="25" spans="4:6" ht="15.75">
      <c r="D25" s="38"/>
      <c r="F25" s="70"/>
    </row>
    <row r="26" spans="1:6" ht="16.5" thickBot="1">
      <c r="A26" s="108" t="s">
        <v>89</v>
      </c>
      <c r="D26" s="46">
        <f>SUM(D20,D23:D24)</f>
        <v>2766222.191780822</v>
      </c>
      <c r="F26" s="71">
        <v>21</v>
      </c>
    </row>
    <row r="27" spans="4:6" ht="16.5" thickTop="1">
      <c r="D27" s="39"/>
      <c r="F27" s="70"/>
    </row>
    <row r="28" spans="4:6" ht="15.75">
      <c r="D28" s="39"/>
      <c r="F28" s="70"/>
    </row>
    <row r="29" spans="1:6" ht="15.75">
      <c r="A29" s="108" t="s">
        <v>90</v>
      </c>
      <c r="D29" s="38"/>
      <c r="F29" s="71">
        <v>22</v>
      </c>
    </row>
    <row r="30" spans="1:4" ht="15.75">
      <c r="A30" s="42"/>
      <c r="D30" s="38"/>
    </row>
    <row r="31" spans="4:14" ht="15.75">
      <c r="D31" s="38"/>
      <c r="E31" s="54">
        <v>1</v>
      </c>
      <c r="F31" s="54">
        <v>0.9</v>
      </c>
      <c r="G31" s="54">
        <v>0.8</v>
      </c>
      <c r="H31" s="54">
        <v>0.7</v>
      </c>
      <c r="I31" s="54">
        <v>0.6</v>
      </c>
      <c r="J31" s="54">
        <v>0.5</v>
      </c>
      <c r="K31" s="54">
        <v>0.4</v>
      </c>
      <c r="L31" s="54">
        <v>0.3</v>
      </c>
      <c r="M31" s="54">
        <v>0.2</v>
      </c>
      <c r="N31" s="54">
        <v>0.1</v>
      </c>
    </row>
    <row r="32" ht="15.75">
      <c r="D32" s="38"/>
    </row>
    <row r="33" spans="1:14" ht="15.75">
      <c r="A33" s="43" t="s">
        <v>89</v>
      </c>
      <c r="D33" s="38"/>
      <c r="E33" s="45">
        <f>D26</f>
        <v>2766222.191780822</v>
      </c>
      <c r="F33" s="45">
        <f>D26</f>
        <v>2766222.191780822</v>
      </c>
      <c r="G33" s="45">
        <f>D26</f>
        <v>2766222.191780822</v>
      </c>
      <c r="H33" s="45">
        <f>D26</f>
        <v>2766222.191780822</v>
      </c>
      <c r="I33" s="45">
        <f>D26</f>
        <v>2766222.191780822</v>
      </c>
      <c r="J33" s="45">
        <f>D26</f>
        <v>2766222.191780822</v>
      </c>
      <c r="K33" s="45">
        <f>D26</f>
        <v>2766222.191780822</v>
      </c>
      <c r="L33" s="45">
        <f>D26</f>
        <v>2766222.191780822</v>
      </c>
      <c r="M33" s="45">
        <f>D26</f>
        <v>2766222.191780822</v>
      </c>
      <c r="N33" s="45">
        <f>D26</f>
        <v>2766222.191780822</v>
      </c>
    </row>
    <row r="34" spans="4:14" ht="15.75">
      <c r="D34" s="38"/>
      <c r="E34" s="45"/>
      <c r="F34" s="45"/>
      <c r="G34" s="45"/>
      <c r="H34" s="45"/>
      <c r="I34" s="45"/>
      <c r="J34" s="45"/>
      <c r="K34" s="45"/>
      <c r="L34" s="45"/>
      <c r="M34" s="45"/>
      <c r="N34" s="45"/>
    </row>
    <row r="35" spans="1:14" ht="15.75">
      <c r="A35" s="43" t="s">
        <v>78</v>
      </c>
      <c r="D35" s="38"/>
      <c r="E35" s="45">
        <f>'P&amp;L'!C29</f>
        <v>1593718.5</v>
      </c>
      <c r="F35" s="45">
        <f>'P&amp;L'!D29</f>
        <v>1081452.9</v>
      </c>
      <c r="G35" s="45">
        <f>'P&amp;L'!E29</f>
        <v>569187.3</v>
      </c>
      <c r="H35" s="45">
        <f>'P&amp;L'!F29</f>
        <v>56921.7</v>
      </c>
      <c r="I35" s="45">
        <f>'P&amp;L'!G29</f>
        <v>-551932.0000000005</v>
      </c>
      <c r="J35" s="45">
        <f>'P&amp;L'!H29</f>
        <v>-1223598</v>
      </c>
      <c r="K35" s="45">
        <f>'P&amp;L'!I29</f>
        <v>-1913518</v>
      </c>
      <c r="L35" s="45">
        <f>'P&amp;L'!J29</f>
        <v>-2603438</v>
      </c>
      <c r="M35" s="45">
        <f>'P&amp;L'!K29</f>
        <v>-3293358</v>
      </c>
      <c r="N35" s="45">
        <f>'P&amp;L'!L29</f>
        <v>-3983278</v>
      </c>
    </row>
    <row r="36" spans="1:14" ht="15.75">
      <c r="A36" s="43" t="s">
        <v>73</v>
      </c>
      <c r="D36" s="38"/>
      <c r="E36" s="45">
        <f>'P&amp;L'!C24</f>
        <v>400000</v>
      </c>
      <c r="F36" s="45">
        <f>'P&amp;L'!D24</f>
        <v>400000</v>
      </c>
      <c r="G36" s="45">
        <f>'P&amp;L'!E24</f>
        <v>400000</v>
      </c>
      <c r="H36" s="45">
        <f>'P&amp;L'!F24</f>
        <v>400000</v>
      </c>
      <c r="I36" s="45">
        <f>'P&amp;L'!G24</f>
        <v>400000</v>
      </c>
      <c r="J36" s="45">
        <f>'P&amp;L'!H24</f>
        <v>400000</v>
      </c>
      <c r="K36" s="45">
        <f>'P&amp;L'!I24</f>
        <v>400000</v>
      </c>
      <c r="L36" s="45">
        <f>'P&amp;L'!J24</f>
        <v>400000</v>
      </c>
      <c r="M36" s="45">
        <f>'P&amp;L'!K24</f>
        <v>400000</v>
      </c>
      <c r="N36" s="45">
        <f>'P&amp;L'!L24</f>
        <v>400000</v>
      </c>
    </row>
    <row r="37" spans="4:14" ht="15.75">
      <c r="D37" s="39"/>
      <c r="E37" s="55"/>
      <c r="F37" s="55"/>
      <c r="G37" s="55"/>
      <c r="H37" s="55"/>
      <c r="I37" s="55"/>
      <c r="J37" s="55"/>
      <c r="K37" s="55"/>
      <c r="L37" s="55"/>
      <c r="M37" s="55"/>
      <c r="N37" s="55"/>
    </row>
    <row r="38" spans="4:14" ht="15.75">
      <c r="D38" s="38"/>
      <c r="E38" s="45">
        <f>SUM(E35:E37)</f>
        <v>1993718.5</v>
      </c>
      <c r="F38" s="45">
        <f aca="true" t="shared" si="0" ref="F38:K38">SUM(F35:F37)</f>
        <v>1481452.9</v>
      </c>
      <c r="G38" s="45">
        <f t="shared" si="0"/>
        <v>969187.3</v>
      </c>
      <c r="H38" s="45">
        <f t="shared" si="0"/>
        <v>456921.7</v>
      </c>
      <c r="I38" s="45">
        <f t="shared" si="0"/>
        <v>-151932.00000000047</v>
      </c>
      <c r="J38" s="45">
        <f t="shared" si="0"/>
        <v>-823598</v>
      </c>
      <c r="K38" s="45">
        <f t="shared" si="0"/>
        <v>-1513518</v>
      </c>
      <c r="L38" s="45">
        <f>SUM(L35:L37)</f>
        <v>-2203438</v>
      </c>
      <c r="M38" s="45">
        <f>SUM(M35:M37)</f>
        <v>-2893358</v>
      </c>
      <c r="N38" s="45">
        <f>SUM(N35:N37)</f>
        <v>-3583278</v>
      </c>
    </row>
    <row r="39" spans="4:11" ht="15.75">
      <c r="D39" s="38"/>
      <c r="E39" s="38"/>
      <c r="F39" s="38"/>
      <c r="G39" s="38"/>
      <c r="H39" s="38"/>
      <c r="I39" s="38"/>
      <c r="J39" s="38"/>
      <c r="K39" s="38"/>
    </row>
    <row r="40" spans="1:14" ht="15.75">
      <c r="A40" s="43" t="s">
        <v>91</v>
      </c>
      <c r="D40" s="40"/>
      <c r="E40" s="56">
        <f>E33/E38</f>
        <v>1.3874687884878543</v>
      </c>
      <c r="F40" s="56">
        <f aca="true" t="shared" si="1" ref="F40:N40">F33/F38</f>
        <v>1.8672360031026447</v>
      </c>
      <c r="G40" s="56">
        <f t="shared" si="1"/>
        <v>2.8541667764123835</v>
      </c>
      <c r="H40" s="56">
        <f t="shared" si="1"/>
        <v>6.0540398754990665</v>
      </c>
      <c r="I40" s="56">
        <f t="shared" si="1"/>
        <v>-18.20697543493677</v>
      </c>
      <c r="J40" s="56">
        <f t="shared" si="1"/>
        <v>-3.358704357928045</v>
      </c>
      <c r="K40" s="56">
        <f t="shared" si="1"/>
        <v>-1.8276771018123483</v>
      </c>
      <c r="L40" s="56">
        <f t="shared" si="1"/>
        <v>-1.2554118571890027</v>
      </c>
      <c r="M40" s="56">
        <f t="shared" si="1"/>
        <v>-0.9560594270673805</v>
      </c>
      <c r="N40" s="56">
        <f t="shared" si="1"/>
        <v>-0.7719809045741977</v>
      </c>
    </row>
    <row r="41" ht="15.75">
      <c r="D41" s="38"/>
    </row>
    <row r="42" ht="15.75">
      <c r="D42" s="38"/>
    </row>
    <row r="43" ht="15.75">
      <c r="D43" s="38"/>
    </row>
  </sheetData>
  <sheetProtection password="CA09" sheet="1" objects="1" scenarios="1"/>
  <printOptions headings="1"/>
  <pageMargins left="0.25" right="0.25" top="0.74" bottom="0.5905511811023623" header="0.5118110236220472" footer="0.5118110236220472"/>
  <pageSetup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dimension ref="A1:M50"/>
  <sheetViews>
    <sheetView zoomScale="70" zoomScaleNormal="70" workbookViewId="0" topLeftCell="A1">
      <selection activeCell="A3" sqref="A3"/>
    </sheetView>
  </sheetViews>
  <sheetFormatPr defaultColWidth="9.00390625" defaultRowHeight="16.5"/>
  <cols>
    <col min="1" max="1" width="34.375" style="44" customWidth="1"/>
    <col min="2" max="2" width="8.625" style="69" customWidth="1"/>
    <col min="3" max="3" width="13.75390625" style="13" customWidth="1"/>
    <col min="4" max="8" width="12.625" style="13" customWidth="1"/>
    <col min="9" max="13" width="13.625" style="13" customWidth="1"/>
    <col min="14" max="16384" width="9.00390625" style="14" customWidth="1"/>
  </cols>
  <sheetData>
    <row r="1" spans="1:3" ht="16.5">
      <c r="A1" s="81" t="s">
        <v>141</v>
      </c>
      <c r="B1" s="67"/>
      <c r="C1" s="63"/>
    </row>
    <row r="2" spans="1:3" ht="16.5">
      <c r="A2" s="81" t="s">
        <v>92</v>
      </c>
      <c r="B2" s="67"/>
      <c r="C2" s="63"/>
    </row>
    <row r="3" spans="1:3" ht="15.75">
      <c r="A3" s="81"/>
      <c r="B3" s="68"/>
      <c r="C3" s="63"/>
    </row>
    <row r="4" spans="1:13" ht="16.5">
      <c r="A4" s="14"/>
      <c r="B4" s="84" t="s">
        <v>86</v>
      </c>
      <c r="C4" s="64"/>
      <c r="D4" s="15">
        <v>1</v>
      </c>
      <c r="E4" s="15">
        <v>0.9</v>
      </c>
      <c r="F4" s="15">
        <v>0.8</v>
      </c>
      <c r="G4" s="15">
        <v>0.7</v>
      </c>
      <c r="H4" s="15">
        <v>0.6</v>
      </c>
      <c r="I4" s="15">
        <v>0.5</v>
      </c>
      <c r="J4" s="15">
        <v>0.4</v>
      </c>
      <c r="K4" s="15">
        <v>0.3</v>
      </c>
      <c r="L4" s="15">
        <v>0.2</v>
      </c>
      <c r="M4" s="15">
        <v>0.1</v>
      </c>
    </row>
    <row r="5" spans="1:13" ht="15.75">
      <c r="A5" s="14"/>
      <c r="C5" s="63"/>
      <c r="D5" s="15"/>
      <c r="E5" s="15"/>
      <c r="F5" s="15"/>
      <c r="G5" s="15"/>
      <c r="H5" s="15"/>
      <c r="I5" s="15"/>
      <c r="J5" s="15"/>
      <c r="K5" s="15"/>
      <c r="L5" s="15"/>
      <c r="M5" s="15"/>
    </row>
    <row r="6" spans="1:4" ht="15.75">
      <c r="A6" s="81" t="s">
        <v>93</v>
      </c>
      <c r="B6" s="68">
        <v>23</v>
      </c>
      <c r="C6" s="63"/>
      <c r="D6" s="16"/>
    </row>
    <row r="7" spans="1:13" ht="15.75">
      <c r="A7" s="14" t="s">
        <v>94</v>
      </c>
      <c r="B7" s="68"/>
      <c r="D7" s="24">
        <f>'Initial capital &amp; Payback'!D6-'Initial capital &amp; Payback'!D6/'Initial capital &amp; Payback'!E6</f>
        <v>1600000</v>
      </c>
      <c r="E7" s="17">
        <f aca="true" t="shared" si="0" ref="E7:M12">D7</f>
        <v>1600000</v>
      </c>
      <c r="F7" s="17">
        <f t="shared" si="0"/>
        <v>1600000</v>
      </c>
      <c r="G7" s="17">
        <f t="shared" si="0"/>
        <v>1600000</v>
      </c>
      <c r="H7" s="17">
        <f t="shared" si="0"/>
        <v>1600000</v>
      </c>
      <c r="I7" s="17">
        <f t="shared" si="0"/>
        <v>1600000</v>
      </c>
      <c r="J7" s="17">
        <f t="shared" si="0"/>
        <v>1600000</v>
      </c>
      <c r="K7" s="17">
        <f t="shared" si="0"/>
        <v>1600000</v>
      </c>
      <c r="L7" s="17">
        <f t="shared" si="0"/>
        <v>1600000</v>
      </c>
      <c r="M7" s="18">
        <f t="shared" si="0"/>
        <v>1600000</v>
      </c>
    </row>
    <row r="8" spans="1:13" ht="15.75">
      <c r="A8" s="14" t="s">
        <v>95</v>
      </c>
      <c r="B8" s="68"/>
      <c r="D8" s="25">
        <f>'Initial capital &amp; Payback'!D7-'Initial capital &amp; Payback'!D7/'Initial capital &amp; Payback'!E7</f>
        <v>0</v>
      </c>
      <c r="E8" s="19">
        <f t="shared" si="0"/>
        <v>0</v>
      </c>
      <c r="F8" s="19">
        <f t="shared" si="0"/>
        <v>0</v>
      </c>
      <c r="G8" s="19">
        <f t="shared" si="0"/>
        <v>0</v>
      </c>
      <c r="H8" s="19">
        <f t="shared" si="0"/>
        <v>0</v>
      </c>
      <c r="I8" s="19">
        <f t="shared" si="0"/>
        <v>0</v>
      </c>
      <c r="J8" s="19">
        <f t="shared" si="0"/>
        <v>0</v>
      </c>
      <c r="K8" s="19">
        <f t="shared" si="0"/>
        <v>0</v>
      </c>
      <c r="L8" s="19">
        <f t="shared" si="0"/>
        <v>0</v>
      </c>
      <c r="M8" s="20">
        <f t="shared" si="0"/>
        <v>0</v>
      </c>
    </row>
    <row r="9" spans="1:13" ht="15.75">
      <c r="A9" s="14" t="s">
        <v>150</v>
      </c>
      <c r="B9" s="68"/>
      <c r="D9" s="25">
        <f>'Initial capital &amp; Payback'!D8-'Initial capital &amp; Payback'!D8/'Initial capital &amp; Payback'!E8</f>
        <v>0</v>
      </c>
      <c r="E9" s="19">
        <f t="shared" si="0"/>
        <v>0</v>
      </c>
      <c r="F9" s="19">
        <f t="shared" si="0"/>
        <v>0</v>
      </c>
      <c r="G9" s="19">
        <f t="shared" si="0"/>
        <v>0</v>
      </c>
      <c r="H9" s="19">
        <f t="shared" si="0"/>
        <v>0</v>
      </c>
      <c r="I9" s="19">
        <f t="shared" si="0"/>
        <v>0</v>
      </c>
      <c r="J9" s="19">
        <f t="shared" si="0"/>
        <v>0</v>
      </c>
      <c r="K9" s="19">
        <f t="shared" si="0"/>
        <v>0</v>
      </c>
      <c r="L9" s="19">
        <f t="shared" si="0"/>
        <v>0</v>
      </c>
      <c r="M9" s="20">
        <f t="shared" si="0"/>
        <v>0</v>
      </c>
    </row>
    <row r="10" spans="1:13" ht="15.75">
      <c r="A10" s="14" t="s">
        <v>96</v>
      </c>
      <c r="B10" s="68"/>
      <c r="D10" s="25">
        <f>'Initial capital &amp; Payback'!D9-'Initial capital &amp; Payback'!D9/'Initial capital &amp; Payback'!E9</f>
        <v>0</v>
      </c>
      <c r="E10" s="19">
        <f t="shared" si="0"/>
        <v>0</v>
      </c>
      <c r="F10" s="19">
        <f t="shared" si="0"/>
        <v>0</v>
      </c>
      <c r="G10" s="19">
        <f t="shared" si="0"/>
        <v>0</v>
      </c>
      <c r="H10" s="19">
        <f t="shared" si="0"/>
        <v>0</v>
      </c>
      <c r="I10" s="19">
        <f t="shared" si="0"/>
        <v>0</v>
      </c>
      <c r="J10" s="19">
        <f t="shared" si="0"/>
        <v>0</v>
      </c>
      <c r="K10" s="19">
        <f t="shared" si="0"/>
        <v>0</v>
      </c>
      <c r="L10" s="19">
        <f t="shared" si="0"/>
        <v>0</v>
      </c>
      <c r="M10" s="20">
        <f t="shared" si="0"/>
        <v>0</v>
      </c>
    </row>
    <row r="11" spans="1:13" ht="15.75">
      <c r="A11" s="14" t="s">
        <v>97</v>
      </c>
      <c r="B11" s="68"/>
      <c r="D11" s="25">
        <f>'Initial capital &amp; Payback'!D10</f>
        <v>135000</v>
      </c>
      <c r="E11" s="19">
        <f t="shared" si="0"/>
        <v>135000</v>
      </c>
      <c r="F11" s="19">
        <f t="shared" si="0"/>
        <v>135000</v>
      </c>
      <c r="G11" s="19">
        <f t="shared" si="0"/>
        <v>135000</v>
      </c>
      <c r="H11" s="19">
        <f t="shared" si="0"/>
        <v>135000</v>
      </c>
      <c r="I11" s="19">
        <f t="shared" si="0"/>
        <v>135000</v>
      </c>
      <c r="J11" s="19">
        <f t="shared" si="0"/>
        <v>135000</v>
      </c>
      <c r="K11" s="19">
        <f t="shared" si="0"/>
        <v>135000</v>
      </c>
      <c r="L11" s="19">
        <f t="shared" si="0"/>
        <v>135000</v>
      </c>
      <c r="M11" s="20">
        <f t="shared" si="0"/>
        <v>135000</v>
      </c>
    </row>
    <row r="12" spans="1:13" ht="15.75">
      <c r="A12" s="14" t="s">
        <v>98</v>
      </c>
      <c r="B12" s="68"/>
      <c r="D12" s="26">
        <f>'Initial capital &amp; Payback'!D11</f>
        <v>0</v>
      </c>
      <c r="E12" s="21">
        <f t="shared" si="0"/>
        <v>0</v>
      </c>
      <c r="F12" s="21">
        <f t="shared" si="0"/>
        <v>0</v>
      </c>
      <c r="G12" s="21">
        <f t="shared" si="0"/>
        <v>0</v>
      </c>
      <c r="H12" s="21">
        <f t="shared" si="0"/>
        <v>0</v>
      </c>
      <c r="I12" s="21">
        <f t="shared" si="0"/>
        <v>0</v>
      </c>
      <c r="J12" s="21">
        <f t="shared" si="0"/>
        <v>0</v>
      </c>
      <c r="K12" s="21">
        <f t="shared" si="0"/>
        <v>0</v>
      </c>
      <c r="L12" s="21">
        <f t="shared" si="0"/>
        <v>0</v>
      </c>
      <c r="M12" s="22">
        <f t="shared" si="0"/>
        <v>0</v>
      </c>
    </row>
    <row r="13" spans="1:13" ht="15.75">
      <c r="A13" s="65"/>
      <c r="B13" s="78"/>
      <c r="C13" s="65" t="s">
        <v>54</v>
      </c>
      <c r="D13" s="23">
        <f aca="true" t="shared" si="1" ref="D13:M13">SUM(D7:D12)</f>
        <v>1735000</v>
      </c>
      <c r="E13" s="23">
        <f t="shared" si="1"/>
        <v>1735000</v>
      </c>
      <c r="F13" s="23">
        <f t="shared" si="1"/>
        <v>1735000</v>
      </c>
      <c r="G13" s="23">
        <f t="shared" si="1"/>
        <v>1735000</v>
      </c>
      <c r="H13" s="23">
        <f t="shared" si="1"/>
        <v>1735000</v>
      </c>
      <c r="I13" s="23">
        <f t="shared" si="1"/>
        <v>1735000</v>
      </c>
      <c r="J13" s="23">
        <f t="shared" si="1"/>
        <v>1735000</v>
      </c>
      <c r="K13" s="23">
        <f t="shared" si="1"/>
        <v>1735000</v>
      </c>
      <c r="L13" s="23">
        <f t="shared" si="1"/>
        <v>1735000</v>
      </c>
      <c r="M13" s="23">
        <f t="shared" si="1"/>
        <v>1735000</v>
      </c>
    </row>
    <row r="14" spans="1:13" ht="15.75">
      <c r="A14" s="81" t="s">
        <v>99</v>
      </c>
      <c r="B14" s="68"/>
      <c r="D14" s="23"/>
      <c r="E14" s="23"/>
      <c r="F14" s="23"/>
      <c r="G14" s="23"/>
      <c r="H14" s="23"/>
      <c r="I14" s="23"/>
      <c r="J14" s="23"/>
      <c r="K14" s="23"/>
      <c r="L14" s="23"/>
      <c r="M14" s="23"/>
    </row>
    <row r="15" spans="1:13" ht="15.75">
      <c r="A15" s="14" t="s">
        <v>100</v>
      </c>
      <c r="B15" s="68">
        <v>24</v>
      </c>
      <c r="D15" s="24">
        <f>'P&amp;L'!C10*(1-'P&amp;L'!C37)*'BS'!D46/365</f>
        <v>218722.19178082194</v>
      </c>
      <c r="E15" s="17">
        <f>'P&amp;L'!D10*(1-'P&amp;L'!D37)*'BS'!E46/365</f>
        <v>196849.97260273976</v>
      </c>
      <c r="F15" s="17">
        <f>'P&amp;L'!E10*(1-'P&amp;L'!E37)*'BS'!F46/365</f>
        <v>174977.75342465757</v>
      </c>
      <c r="G15" s="17">
        <f>'P&amp;L'!F10*(1-'P&amp;L'!F37)*'BS'!G46/365</f>
        <v>153105.53424657535</v>
      </c>
      <c r="H15" s="17">
        <f>'P&amp;L'!G10*(1-'P&amp;L'!G37)*'BS'!H46/365</f>
        <v>131233.31506849316</v>
      </c>
      <c r="I15" s="17">
        <f>'P&amp;L'!H10*(1-'P&amp;L'!H37)*'BS'!I46/365</f>
        <v>109361.09589041097</v>
      </c>
      <c r="J15" s="17">
        <f>'P&amp;L'!I10*(1-'P&amp;L'!I37)*'BS'!J46/365</f>
        <v>87488.87671232878</v>
      </c>
      <c r="K15" s="17">
        <f>'P&amp;L'!J10*(1-'P&amp;L'!J37)*'BS'!K46/365</f>
        <v>65616.65753424658</v>
      </c>
      <c r="L15" s="17">
        <f>'P&amp;L'!K10*(1-'P&amp;L'!K37)*'BS'!L46/365</f>
        <v>43744.43835616439</v>
      </c>
      <c r="M15" s="18">
        <f>'P&amp;L'!L10*(1-'P&amp;L'!L37)*'BS'!M46/365</f>
        <v>21872.219178082196</v>
      </c>
    </row>
    <row r="16" spans="1:13" ht="15.75">
      <c r="A16" s="14" t="s">
        <v>105</v>
      </c>
      <c r="B16" s="68">
        <v>25</v>
      </c>
      <c r="D16" s="25">
        <f>+'P&amp;L'!C10*'BS'!D47/365</f>
        <v>0</v>
      </c>
      <c r="E16" s="19">
        <f>+'P&amp;L'!D10*'BS'!E47/365</f>
        <v>0</v>
      </c>
      <c r="F16" s="19">
        <f>+'P&amp;L'!E10*'BS'!F47/365</f>
        <v>0</v>
      </c>
      <c r="G16" s="19">
        <f>+'P&amp;L'!F10*'BS'!G47/365</f>
        <v>0</v>
      </c>
      <c r="H16" s="19">
        <f>+'P&amp;L'!G10*'BS'!H47/365</f>
        <v>0</v>
      </c>
      <c r="I16" s="19">
        <f>+'P&amp;L'!H10*'BS'!I47/365</f>
        <v>0</v>
      </c>
      <c r="J16" s="19">
        <f>+'P&amp;L'!I10*'BS'!J47/365</f>
        <v>0</v>
      </c>
      <c r="K16" s="19">
        <f>+'P&amp;L'!J10*'BS'!K47/365</f>
        <v>0</v>
      </c>
      <c r="L16" s="19">
        <f>+'P&amp;L'!K10*'BS'!L47/365</f>
        <v>0</v>
      </c>
      <c r="M16" s="20">
        <f>+'P&amp;L'!L10*'BS'!M47/365</f>
        <v>0</v>
      </c>
    </row>
    <row r="17" spans="1:13" ht="15.75">
      <c r="A17" s="14" t="s">
        <v>101</v>
      </c>
      <c r="B17" s="68">
        <v>26</v>
      </c>
      <c r="D17" s="26">
        <f>('P&amp;L'!C15+'P&amp;L'!C16+'P&amp;L'!C17+'P&amp;L'!C18)/12</f>
        <v>315000</v>
      </c>
      <c r="E17" s="21">
        <f>('P&amp;L'!D15+'P&amp;L'!D16+'P&amp;L'!D17+'P&amp;L'!D18)/12</f>
        <v>315000</v>
      </c>
      <c r="F17" s="21">
        <f>('P&amp;L'!E15+'P&amp;L'!E16+'P&amp;L'!E17+'P&amp;L'!E18)/12</f>
        <v>315000</v>
      </c>
      <c r="G17" s="21">
        <f>('P&amp;L'!F15+'P&amp;L'!F16+'P&amp;L'!F17+'P&amp;L'!F18)/12</f>
        <v>315000</v>
      </c>
      <c r="H17" s="21">
        <f>('P&amp;L'!G15+'P&amp;L'!G16+'P&amp;L'!G17+'P&amp;L'!G18)/12</f>
        <v>315000</v>
      </c>
      <c r="I17" s="21">
        <f>('P&amp;L'!H15+'P&amp;L'!H16+'P&amp;L'!H17+'P&amp;L'!H18)/12</f>
        <v>315000</v>
      </c>
      <c r="J17" s="21">
        <f>('P&amp;L'!I15+'P&amp;L'!I16+'P&amp;L'!I17+'P&amp;L'!I18)/12</f>
        <v>315000</v>
      </c>
      <c r="K17" s="21">
        <f>('P&amp;L'!J15+'P&amp;L'!J16+'P&amp;L'!J17+'P&amp;L'!J18)/12</f>
        <v>315000</v>
      </c>
      <c r="L17" s="21">
        <f>('P&amp;L'!K15+'P&amp;L'!K16+'P&amp;L'!K17+'P&amp;L'!K18)/12</f>
        <v>315000</v>
      </c>
      <c r="M17" s="22">
        <f>('P&amp;L'!L15+'P&amp;L'!L16+'P&amp;L'!L17+'P&amp;L'!L18)/12</f>
        <v>315000</v>
      </c>
    </row>
    <row r="18" spans="1:13" ht="15.75">
      <c r="A18" s="65"/>
      <c r="B18" s="78"/>
      <c r="C18" s="65" t="s">
        <v>55</v>
      </c>
      <c r="D18" s="23">
        <f>SUM(D15:D17)</f>
        <v>533722.1917808219</v>
      </c>
      <c r="E18" s="23">
        <f>SUM(E15:E17)</f>
        <v>511849.97260273976</v>
      </c>
      <c r="F18" s="23">
        <f aca="true" t="shared" si="2" ref="F18:M18">SUM(F15:F17)</f>
        <v>489977.75342465757</v>
      </c>
      <c r="G18" s="23">
        <f t="shared" si="2"/>
        <v>468105.5342465753</v>
      </c>
      <c r="H18" s="23">
        <f t="shared" si="2"/>
        <v>446233.31506849313</v>
      </c>
      <c r="I18" s="23">
        <f t="shared" si="2"/>
        <v>424361.09589041094</v>
      </c>
      <c r="J18" s="23">
        <f t="shared" si="2"/>
        <v>402488.87671232875</v>
      </c>
      <c r="K18" s="23">
        <f t="shared" si="2"/>
        <v>380616.65753424657</v>
      </c>
      <c r="L18" s="23">
        <f t="shared" si="2"/>
        <v>358744.4383561644</v>
      </c>
      <c r="M18" s="23">
        <f t="shared" si="2"/>
        <v>336872.2191780822</v>
      </c>
    </row>
    <row r="19" spans="1:13" ht="15.75">
      <c r="A19" s="14"/>
      <c r="B19" s="68"/>
      <c r="D19" s="23"/>
      <c r="E19" s="23"/>
      <c r="F19" s="23"/>
      <c r="G19" s="23"/>
      <c r="H19" s="23"/>
      <c r="I19" s="23"/>
      <c r="J19" s="23"/>
      <c r="K19" s="23"/>
      <c r="L19" s="23"/>
      <c r="M19" s="23"/>
    </row>
    <row r="20" spans="1:13" ht="15.75">
      <c r="A20" s="82" t="s">
        <v>102</v>
      </c>
      <c r="B20" s="68">
        <v>27</v>
      </c>
      <c r="C20" s="65" t="s">
        <v>58</v>
      </c>
      <c r="D20" s="21">
        <f>IF((D29-D37-D38)&lt;0,-(D29-D37-D38),0)</f>
        <v>2648002.191780822</v>
      </c>
      <c r="E20" s="21">
        <f>IF((E29-E37-E38)&lt;0,-(E29-E37-E38),0)</f>
        <v>2027074.1917808217</v>
      </c>
      <c r="F20" s="21">
        <f>IF((F29-F37-F38)&lt;0,-(F29-F37-F38),0)</f>
        <v>1406146.1917808221</v>
      </c>
      <c r="G20" s="21">
        <f aca="true" t="shared" si="3" ref="G20:M20">IF((G29-G37-G38)&lt;0,-(G29-G37-G38),0)</f>
        <v>785218.1917808221</v>
      </c>
      <c r="H20" s="21">
        <f t="shared" si="3"/>
        <v>164290.19178082142</v>
      </c>
      <c r="I20" s="21">
        <f t="shared" si="3"/>
        <v>0</v>
      </c>
      <c r="J20" s="21">
        <f t="shared" si="3"/>
        <v>0</v>
      </c>
      <c r="K20" s="21">
        <f t="shared" si="3"/>
        <v>0</v>
      </c>
      <c r="L20" s="21">
        <f t="shared" si="3"/>
        <v>0</v>
      </c>
      <c r="M20" s="21">
        <f t="shared" si="3"/>
        <v>0</v>
      </c>
    </row>
    <row r="21" spans="1:13" ht="15.75">
      <c r="A21" s="81"/>
      <c r="B21" s="68"/>
      <c r="D21" s="19"/>
      <c r="E21" s="19"/>
      <c r="F21" s="19"/>
      <c r="G21" s="19"/>
      <c r="H21" s="19"/>
      <c r="I21" s="19"/>
      <c r="J21" s="19"/>
      <c r="K21" s="19"/>
      <c r="L21" s="19"/>
      <c r="M21" s="19"/>
    </row>
    <row r="22" spans="1:13" ht="15.75">
      <c r="A22" s="14"/>
      <c r="B22" s="68"/>
      <c r="C22" s="47" t="s">
        <v>57</v>
      </c>
      <c r="D22" s="19">
        <f>SUM(D18:D20)</f>
        <v>3181724.383561644</v>
      </c>
      <c r="E22" s="19">
        <f aca="true" t="shared" si="4" ref="E22:M22">SUM(E18:E20)</f>
        <v>2538924.1643835614</v>
      </c>
      <c r="F22" s="19">
        <f t="shared" si="4"/>
        <v>1896123.9452054796</v>
      </c>
      <c r="G22" s="19">
        <f t="shared" si="4"/>
        <v>1253323.7260273974</v>
      </c>
      <c r="H22" s="19">
        <f t="shared" si="4"/>
        <v>610523.5068493146</v>
      </c>
      <c r="I22" s="19">
        <f t="shared" si="4"/>
        <v>424361.09589041094</v>
      </c>
      <c r="J22" s="19">
        <f t="shared" si="4"/>
        <v>402488.87671232875</v>
      </c>
      <c r="K22" s="19">
        <f t="shared" si="4"/>
        <v>380616.65753424657</v>
      </c>
      <c r="L22" s="19">
        <f t="shared" si="4"/>
        <v>358744.4383561644</v>
      </c>
      <c r="M22" s="19">
        <f t="shared" si="4"/>
        <v>336872.2191780822</v>
      </c>
    </row>
    <row r="23" spans="1:13" ht="15.75">
      <c r="A23" s="81"/>
      <c r="B23" s="68"/>
      <c r="D23" s="19"/>
      <c r="E23" s="19"/>
      <c r="F23" s="19"/>
      <c r="G23" s="19"/>
      <c r="H23" s="19"/>
      <c r="I23" s="19"/>
      <c r="J23" s="19"/>
      <c r="K23" s="19"/>
      <c r="L23" s="19"/>
      <c r="M23" s="19"/>
    </row>
    <row r="24" spans="1:13" ht="15.75">
      <c r="A24" s="81" t="s">
        <v>103</v>
      </c>
      <c r="B24" s="68"/>
      <c r="D24" s="23"/>
      <c r="E24" s="23"/>
      <c r="F24" s="23"/>
      <c r="G24" s="23"/>
      <c r="H24" s="23"/>
      <c r="I24" s="23"/>
      <c r="J24" s="23"/>
      <c r="K24" s="23"/>
      <c r="L24" s="23"/>
      <c r="M24" s="23"/>
    </row>
    <row r="25" spans="1:13" ht="15.75">
      <c r="A25" s="14" t="s">
        <v>104</v>
      </c>
      <c r="B25" s="68">
        <v>28</v>
      </c>
      <c r="D25" s="27">
        <f>+'P&amp;L'!C10*(1-'P&amp;L'!C37)*'BS'!D48/365</f>
        <v>218722.19178082194</v>
      </c>
      <c r="E25" s="28">
        <f>+'P&amp;L'!D10*(1-'P&amp;L'!D37)*'BS'!E48/365</f>
        <v>196849.97260273976</v>
      </c>
      <c r="F25" s="28">
        <f>+'P&amp;L'!E10*(1-'P&amp;L'!E37)*'BS'!F48/365</f>
        <v>174977.75342465757</v>
      </c>
      <c r="G25" s="28">
        <f>+'P&amp;L'!F10*(1-'P&amp;L'!F37)*'BS'!G48/365</f>
        <v>153105.53424657535</v>
      </c>
      <c r="H25" s="28">
        <f>+'P&amp;L'!G10*(1-'P&amp;L'!G37)*'BS'!H48/365</f>
        <v>131233.31506849316</v>
      </c>
      <c r="I25" s="28">
        <f>+'P&amp;L'!H10*(1-'P&amp;L'!H37)*'BS'!I48/365</f>
        <v>109361.09589041097</v>
      </c>
      <c r="J25" s="28">
        <f>+'P&amp;L'!I10*(1-'P&amp;L'!I37)*'BS'!J48/365</f>
        <v>87488.87671232878</v>
      </c>
      <c r="K25" s="28">
        <f>+'P&amp;L'!J10*(1-'P&amp;L'!J37)*'BS'!K48/365</f>
        <v>65616.65753424658</v>
      </c>
      <c r="L25" s="28">
        <f>+'P&amp;L'!K10*(1-'P&amp;L'!K37)*'BS'!L48/365</f>
        <v>43744.43835616439</v>
      </c>
      <c r="M25" s="29">
        <f>+'P&amp;L'!L10*(1-'P&amp;L'!L37)*'BS'!M48/365</f>
        <v>21872.219178082196</v>
      </c>
    </row>
    <row r="26" spans="1:13" ht="15.75">
      <c r="A26" s="14" t="s">
        <v>106</v>
      </c>
      <c r="B26" s="68"/>
      <c r="D26" s="30">
        <f>'P&amp;L'!C28</f>
        <v>338061.5</v>
      </c>
      <c r="E26" s="31">
        <f>'P&amp;L'!D28</f>
        <v>229399.09999999998</v>
      </c>
      <c r="F26" s="31">
        <f>'P&amp;L'!E28</f>
        <v>120736.7</v>
      </c>
      <c r="G26" s="31">
        <f>'P&amp;L'!F28</f>
        <v>12074.3</v>
      </c>
      <c r="H26" s="31">
        <f>'P&amp;L'!G28</f>
        <v>0</v>
      </c>
      <c r="I26" s="31">
        <f>'P&amp;L'!H28</f>
        <v>0</v>
      </c>
      <c r="J26" s="31">
        <f>'P&amp;L'!I28</f>
        <v>0</v>
      </c>
      <c r="K26" s="31">
        <f>'P&amp;L'!J28</f>
        <v>0</v>
      </c>
      <c r="L26" s="31">
        <f>'P&amp;L'!K28</f>
        <v>0</v>
      </c>
      <c r="M26" s="32">
        <f>'P&amp;L'!L28</f>
        <v>0</v>
      </c>
    </row>
    <row r="27" spans="1:13" ht="15.75">
      <c r="A27" s="65"/>
      <c r="B27" s="78"/>
      <c r="C27" s="65" t="s">
        <v>56</v>
      </c>
      <c r="D27" s="33">
        <f aca="true" t="shared" si="5" ref="D27:M27">SUM(D25:D26)</f>
        <v>556783.6917808219</v>
      </c>
      <c r="E27" s="33">
        <f t="shared" si="5"/>
        <v>426249.07260273973</v>
      </c>
      <c r="F27" s="33">
        <f t="shared" si="5"/>
        <v>295714.4534246576</v>
      </c>
      <c r="G27" s="33">
        <f t="shared" si="5"/>
        <v>165179.83424657534</v>
      </c>
      <c r="H27" s="33">
        <f t="shared" si="5"/>
        <v>131233.31506849316</v>
      </c>
      <c r="I27" s="33">
        <f t="shared" si="5"/>
        <v>109361.09589041097</v>
      </c>
      <c r="J27" s="33">
        <f t="shared" si="5"/>
        <v>87488.87671232878</v>
      </c>
      <c r="K27" s="33">
        <f t="shared" si="5"/>
        <v>65616.65753424658</v>
      </c>
      <c r="L27" s="33">
        <f t="shared" si="5"/>
        <v>43744.43835616439</v>
      </c>
      <c r="M27" s="33">
        <f t="shared" si="5"/>
        <v>21872.219178082196</v>
      </c>
    </row>
    <row r="28" spans="1:13" ht="15.75">
      <c r="A28" s="14"/>
      <c r="B28" s="68"/>
      <c r="D28" s="33"/>
      <c r="E28" s="33"/>
      <c r="F28" s="33"/>
      <c r="G28" s="33"/>
      <c r="H28" s="33"/>
      <c r="I28" s="33"/>
      <c r="J28" s="33"/>
      <c r="K28" s="33"/>
      <c r="L28" s="33"/>
      <c r="M28" s="33"/>
    </row>
    <row r="29" spans="1:13" ht="15" hidden="1">
      <c r="A29" s="14"/>
      <c r="D29" s="33">
        <f aca="true" t="shared" si="6" ref="D29:M29">D13+D18-D27</f>
        <v>1711938.5</v>
      </c>
      <c r="E29" s="33">
        <f t="shared" si="6"/>
        <v>1820600.9000000001</v>
      </c>
      <c r="F29" s="33">
        <f t="shared" si="6"/>
        <v>1929263.2999999998</v>
      </c>
      <c r="G29" s="33">
        <f t="shared" si="6"/>
        <v>2037925.6999999997</v>
      </c>
      <c r="H29" s="33">
        <f t="shared" si="6"/>
        <v>2050000</v>
      </c>
      <c r="I29" s="33">
        <f t="shared" si="6"/>
        <v>2050000.0000000002</v>
      </c>
      <c r="J29" s="33">
        <f t="shared" si="6"/>
        <v>2050000</v>
      </c>
      <c r="K29" s="33">
        <f t="shared" si="6"/>
        <v>2049999.9999999998</v>
      </c>
      <c r="L29" s="33">
        <f t="shared" si="6"/>
        <v>2050000</v>
      </c>
      <c r="M29" s="33">
        <f t="shared" si="6"/>
        <v>2050000</v>
      </c>
    </row>
    <row r="30" spans="1:13" ht="15" hidden="1">
      <c r="A30" s="14"/>
      <c r="D30" s="33"/>
      <c r="E30" s="33"/>
      <c r="F30" s="33"/>
      <c r="G30" s="33"/>
      <c r="H30" s="33"/>
      <c r="I30" s="33"/>
      <c r="J30" s="33"/>
      <c r="K30" s="33"/>
      <c r="L30" s="33"/>
      <c r="M30" s="33"/>
    </row>
    <row r="31" spans="1:13" ht="15.75">
      <c r="A31" s="83" t="s">
        <v>107</v>
      </c>
      <c r="B31" s="68">
        <v>29</v>
      </c>
      <c r="C31" s="47" t="s">
        <v>59</v>
      </c>
      <c r="D31" s="23">
        <f>D22-D27</f>
        <v>2624940.691780822</v>
      </c>
      <c r="E31" s="23">
        <f aca="true" t="shared" si="7" ref="E31:M31">E22-E27</f>
        <v>2112675.091780822</v>
      </c>
      <c r="F31" s="23">
        <f t="shared" si="7"/>
        <v>1600409.4917808222</v>
      </c>
      <c r="G31" s="23">
        <f t="shared" si="7"/>
        <v>1088143.891780822</v>
      </c>
      <c r="H31" s="23">
        <f t="shared" si="7"/>
        <v>479290.1917808214</v>
      </c>
      <c r="I31" s="34">
        <f>I22-I27</f>
        <v>315000</v>
      </c>
      <c r="J31" s="23">
        <f t="shared" si="7"/>
        <v>315000</v>
      </c>
      <c r="K31" s="23">
        <f t="shared" si="7"/>
        <v>315000</v>
      </c>
      <c r="L31" s="23">
        <f t="shared" si="7"/>
        <v>315000</v>
      </c>
      <c r="M31" s="23">
        <f t="shared" si="7"/>
        <v>315000</v>
      </c>
    </row>
    <row r="32" spans="1:13" ht="15.75">
      <c r="A32" s="81"/>
      <c r="B32" s="68"/>
      <c r="D32" s="23"/>
      <c r="E32" s="23"/>
      <c r="F32" s="23"/>
      <c r="G32" s="23"/>
      <c r="H32" s="23"/>
      <c r="I32" s="23"/>
      <c r="J32" s="23"/>
      <c r="K32" s="23"/>
      <c r="L32" s="23"/>
      <c r="M32" s="23"/>
    </row>
    <row r="33" spans="1:13" ht="16.5" thickBot="1">
      <c r="A33" s="81" t="s">
        <v>108</v>
      </c>
      <c r="B33" s="68"/>
      <c r="C33" s="47" t="s">
        <v>60</v>
      </c>
      <c r="D33" s="35">
        <f aca="true" t="shared" si="8" ref="D33:M33">D13+D31</f>
        <v>4359940.691780822</v>
      </c>
      <c r="E33" s="35">
        <f t="shared" si="8"/>
        <v>3847675.091780822</v>
      </c>
      <c r="F33" s="35">
        <f t="shared" si="8"/>
        <v>3335409.491780822</v>
      </c>
      <c r="G33" s="35">
        <f t="shared" si="8"/>
        <v>2823143.891780822</v>
      </c>
      <c r="H33" s="35">
        <f t="shared" si="8"/>
        <v>2214290.1917808214</v>
      </c>
      <c r="I33" s="35">
        <f t="shared" si="8"/>
        <v>2050000</v>
      </c>
      <c r="J33" s="35">
        <f t="shared" si="8"/>
        <v>2050000</v>
      </c>
      <c r="K33" s="35">
        <f t="shared" si="8"/>
        <v>2050000</v>
      </c>
      <c r="L33" s="35">
        <f t="shared" si="8"/>
        <v>2050000</v>
      </c>
      <c r="M33" s="35">
        <f t="shared" si="8"/>
        <v>2050000</v>
      </c>
    </row>
    <row r="34" spans="1:13" ht="16.5" thickTop="1">
      <c r="A34" s="81"/>
      <c r="B34" s="68"/>
      <c r="D34" s="19"/>
      <c r="E34" s="19"/>
      <c r="F34" s="19"/>
      <c r="G34" s="19"/>
      <c r="H34" s="19"/>
      <c r="I34" s="19"/>
      <c r="J34" s="19"/>
      <c r="K34" s="19"/>
      <c r="L34" s="19"/>
      <c r="M34" s="19"/>
    </row>
    <row r="35" spans="1:13" ht="15.75">
      <c r="A35" s="14"/>
      <c r="B35" s="68"/>
      <c r="D35" s="23"/>
      <c r="E35" s="23"/>
      <c r="F35" s="23"/>
      <c r="G35" s="23"/>
      <c r="H35" s="23"/>
      <c r="I35" s="23"/>
      <c r="J35" s="23"/>
      <c r="K35" s="23"/>
      <c r="L35" s="23"/>
      <c r="M35" s="23"/>
    </row>
    <row r="36" spans="1:13" ht="15.75">
      <c r="A36" s="81" t="s">
        <v>109</v>
      </c>
      <c r="B36" s="68"/>
      <c r="D36" s="23"/>
      <c r="E36" s="23"/>
      <c r="F36" s="23"/>
      <c r="G36" s="23"/>
      <c r="H36" s="23"/>
      <c r="I36" s="23"/>
      <c r="J36" s="23"/>
      <c r="K36" s="23"/>
      <c r="L36" s="23"/>
      <c r="M36" s="23"/>
    </row>
    <row r="37" spans="1:13" ht="15.75">
      <c r="A37" s="14" t="s">
        <v>110</v>
      </c>
      <c r="B37" s="68"/>
      <c r="D37" s="23">
        <f>'Initial capital &amp; Payback'!D26</f>
        <v>2766222.191780822</v>
      </c>
      <c r="E37" s="23">
        <f aca="true" t="shared" si="9" ref="E37:M37">D37</f>
        <v>2766222.191780822</v>
      </c>
      <c r="F37" s="23">
        <f t="shared" si="9"/>
        <v>2766222.191780822</v>
      </c>
      <c r="G37" s="23">
        <f t="shared" si="9"/>
        <v>2766222.191780822</v>
      </c>
      <c r="H37" s="23">
        <f t="shared" si="9"/>
        <v>2766222.191780822</v>
      </c>
      <c r="I37" s="23">
        <f t="shared" si="9"/>
        <v>2766222.191780822</v>
      </c>
      <c r="J37" s="23">
        <f t="shared" si="9"/>
        <v>2766222.191780822</v>
      </c>
      <c r="K37" s="23">
        <f t="shared" si="9"/>
        <v>2766222.191780822</v>
      </c>
      <c r="L37" s="23">
        <f t="shared" si="9"/>
        <v>2766222.191780822</v>
      </c>
      <c r="M37" s="23">
        <f t="shared" si="9"/>
        <v>2766222.191780822</v>
      </c>
    </row>
    <row r="38" spans="1:13" ht="15.75">
      <c r="A38" s="81" t="s">
        <v>111</v>
      </c>
      <c r="B38" s="68"/>
      <c r="D38" s="23">
        <f>+'P&amp;L'!C29</f>
        <v>1593718.5</v>
      </c>
      <c r="E38" s="23">
        <f>+'P&amp;L'!D29</f>
        <v>1081452.9</v>
      </c>
      <c r="F38" s="23">
        <f>+'P&amp;L'!E29</f>
        <v>569187.3</v>
      </c>
      <c r="G38" s="23">
        <f>+'P&amp;L'!F29</f>
        <v>56921.7</v>
      </c>
      <c r="H38" s="23">
        <f>+'P&amp;L'!G29</f>
        <v>-551932.0000000005</v>
      </c>
      <c r="I38" s="23">
        <f>+'P&amp;L'!H29</f>
        <v>-1223598</v>
      </c>
      <c r="J38" s="23">
        <f>+'P&amp;L'!I29</f>
        <v>-1913518</v>
      </c>
      <c r="K38" s="23">
        <f>+'P&amp;L'!J29</f>
        <v>-2603438</v>
      </c>
      <c r="L38" s="23">
        <f>+'P&amp;L'!K29</f>
        <v>-3293358</v>
      </c>
      <c r="M38" s="23">
        <f>+'P&amp;L'!L29</f>
        <v>-3983278</v>
      </c>
    </row>
    <row r="39" spans="1:13" ht="15.75">
      <c r="A39" s="14" t="s">
        <v>112</v>
      </c>
      <c r="B39" s="68">
        <v>30</v>
      </c>
      <c r="D39" s="23">
        <f aca="true" t="shared" si="10" ref="D39:M39">IF(D33-D37-D38&lt;0,0,D33-D37-D38)</f>
        <v>4.656612873077393E-10</v>
      </c>
      <c r="E39" s="23">
        <f t="shared" si="10"/>
        <v>0</v>
      </c>
      <c r="F39" s="23">
        <f t="shared" si="10"/>
        <v>2.3283064365386963E-10</v>
      </c>
      <c r="G39" s="23">
        <f t="shared" si="10"/>
        <v>1.8917489796876907E-10</v>
      </c>
      <c r="H39" s="23">
        <f t="shared" si="10"/>
        <v>0</v>
      </c>
      <c r="I39" s="23">
        <f t="shared" si="10"/>
        <v>507375.8082191781</v>
      </c>
      <c r="J39" s="23">
        <f t="shared" si="10"/>
        <v>1197295.808219178</v>
      </c>
      <c r="K39" s="23">
        <f t="shared" si="10"/>
        <v>1887215.808219178</v>
      </c>
      <c r="L39" s="23">
        <f t="shared" si="10"/>
        <v>2577135.808219178</v>
      </c>
      <c r="M39" s="23">
        <f t="shared" si="10"/>
        <v>3267055.808219178</v>
      </c>
    </row>
    <row r="40" spans="1:13" ht="16.5" thickBot="1">
      <c r="A40" s="14"/>
      <c r="B40" s="68"/>
      <c r="D40" s="35">
        <f>SUM(D37:D39)</f>
        <v>4359940.691780822</v>
      </c>
      <c r="E40" s="35">
        <f aca="true" t="shared" si="11" ref="E40:M40">E33</f>
        <v>3847675.091780822</v>
      </c>
      <c r="F40" s="35">
        <f t="shared" si="11"/>
        <v>3335409.491780822</v>
      </c>
      <c r="G40" s="35">
        <f t="shared" si="11"/>
        <v>2823143.891780822</v>
      </c>
      <c r="H40" s="35">
        <f t="shared" si="11"/>
        <v>2214290.1917808214</v>
      </c>
      <c r="I40" s="35">
        <f t="shared" si="11"/>
        <v>2050000</v>
      </c>
      <c r="J40" s="35">
        <f t="shared" si="11"/>
        <v>2050000</v>
      </c>
      <c r="K40" s="35">
        <f t="shared" si="11"/>
        <v>2050000</v>
      </c>
      <c r="L40" s="35">
        <f t="shared" si="11"/>
        <v>2050000</v>
      </c>
      <c r="M40" s="35">
        <f t="shared" si="11"/>
        <v>2050000</v>
      </c>
    </row>
    <row r="41" spans="1:13" ht="16.5" thickTop="1">
      <c r="A41" s="14"/>
      <c r="B41" s="68"/>
      <c r="D41" s="23"/>
      <c r="E41" s="23"/>
      <c r="F41" s="23"/>
      <c r="G41" s="23"/>
      <c r="H41" s="23"/>
      <c r="I41" s="23"/>
      <c r="J41" s="23"/>
      <c r="K41" s="23"/>
      <c r="L41" s="23"/>
      <c r="M41" s="23"/>
    </row>
    <row r="42" spans="1:13" ht="15.75">
      <c r="A42" s="14"/>
      <c r="B42" s="68"/>
      <c r="D42" s="23"/>
      <c r="E42" s="23"/>
      <c r="F42" s="23"/>
      <c r="G42" s="23"/>
      <c r="H42" s="23"/>
      <c r="I42" s="23"/>
      <c r="J42" s="23"/>
      <c r="K42" s="23"/>
      <c r="L42" s="23"/>
      <c r="M42" s="23"/>
    </row>
    <row r="43" spans="1:2" ht="15.75">
      <c r="A43" s="81" t="s">
        <v>151</v>
      </c>
      <c r="B43" s="68"/>
    </row>
    <row r="44" spans="1:13" ht="15.75" customHeight="1">
      <c r="A44" s="14"/>
      <c r="B44" s="68"/>
      <c r="C44" s="63"/>
      <c r="D44" s="36">
        <v>1</v>
      </c>
      <c r="E44" s="36">
        <v>0.9</v>
      </c>
      <c r="F44" s="36">
        <v>0.8</v>
      </c>
      <c r="G44" s="36">
        <v>0.7</v>
      </c>
      <c r="H44" s="36">
        <v>0.6</v>
      </c>
      <c r="I44" s="36">
        <v>0.5</v>
      </c>
      <c r="J44" s="36">
        <v>0.4</v>
      </c>
      <c r="K44" s="36">
        <v>0.3</v>
      </c>
      <c r="L44" s="36">
        <v>0.2</v>
      </c>
      <c r="M44" s="36">
        <v>0.1</v>
      </c>
    </row>
    <row r="45" spans="1:2" ht="15.75">
      <c r="A45" s="14"/>
      <c r="B45" s="68"/>
    </row>
    <row r="46" spans="1:13" ht="15.75">
      <c r="A46" s="14" t="s">
        <v>113</v>
      </c>
      <c r="B46" s="68">
        <v>20</v>
      </c>
      <c r="D46" s="72">
        <f>'Initial capital &amp; Payback'!B23</f>
        <v>30</v>
      </c>
      <c r="E46" s="13">
        <f aca="true" t="shared" si="12" ref="E46:M47">D46</f>
        <v>30</v>
      </c>
      <c r="F46" s="13">
        <f t="shared" si="12"/>
        <v>30</v>
      </c>
      <c r="G46" s="13">
        <f t="shared" si="12"/>
        <v>30</v>
      </c>
      <c r="H46" s="13">
        <f t="shared" si="12"/>
        <v>30</v>
      </c>
      <c r="I46" s="13">
        <f t="shared" si="12"/>
        <v>30</v>
      </c>
      <c r="J46" s="13">
        <f t="shared" si="12"/>
        <v>30</v>
      </c>
      <c r="K46" s="13">
        <f t="shared" si="12"/>
        <v>30</v>
      </c>
      <c r="L46" s="13">
        <f t="shared" si="12"/>
        <v>30</v>
      </c>
      <c r="M46" s="13">
        <f t="shared" si="12"/>
        <v>30</v>
      </c>
    </row>
    <row r="47" spans="1:13" ht="15.75">
      <c r="A47" s="14" t="s">
        <v>114</v>
      </c>
      <c r="B47" s="68">
        <v>31</v>
      </c>
      <c r="D47" s="79">
        <v>0</v>
      </c>
      <c r="E47" s="13">
        <f t="shared" si="12"/>
        <v>0</v>
      </c>
      <c r="F47" s="13">
        <f t="shared" si="12"/>
        <v>0</v>
      </c>
      <c r="G47" s="13">
        <f t="shared" si="12"/>
        <v>0</v>
      </c>
      <c r="H47" s="13">
        <f t="shared" si="12"/>
        <v>0</v>
      </c>
      <c r="I47" s="13">
        <f t="shared" si="12"/>
        <v>0</v>
      </c>
      <c r="J47" s="13">
        <f t="shared" si="12"/>
        <v>0</v>
      </c>
      <c r="K47" s="13">
        <f t="shared" si="12"/>
        <v>0</v>
      </c>
      <c r="L47" s="13">
        <f t="shared" si="12"/>
        <v>0</v>
      </c>
      <c r="M47" s="13">
        <f t="shared" si="12"/>
        <v>0</v>
      </c>
    </row>
    <row r="48" spans="1:13" ht="16.5" customHeight="1">
      <c r="A48" s="14" t="s">
        <v>115</v>
      </c>
      <c r="B48" s="68">
        <v>32</v>
      </c>
      <c r="D48" s="79">
        <v>30</v>
      </c>
      <c r="E48" s="13">
        <f>D48</f>
        <v>30</v>
      </c>
      <c r="F48" s="13">
        <f aca="true" t="shared" si="13" ref="F48:K48">D48</f>
        <v>30</v>
      </c>
      <c r="G48" s="13">
        <f t="shared" si="13"/>
        <v>30</v>
      </c>
      <c r="H48" s="13">
        <f t="shared" si="13"/>
        <v>30</v>
      </c>
      <c r="I48" s="13">
        <f t="shared" si="13"/>
        <v>30</v>
      </c>
      <c r="J48" s="13">
        <f t="shared" si="13"/>
        <v>30</v>
      </c>
      <c r="K48" s="13">
        <f t="shared" si="13"/>
        <v>30</v>
      </c>
      <c r="L48" s="13">
        <v>30</v>
      </c>
      <c r="M48" s="13">
        <v>30</v>
      </c>
    </row>
    <row r="49" spans="1:13" ht="15.75">
      <c r="A49" s="14" t="s">
        <v>152</v>
      </c>
      <c r="B49" s="68">
        <v>33</v>
      </c>
      <c r="C49" s="13" t="s">
        <v>61</v>
      </c>
      <c r="D49" s="66">
        <f>+D22/D27</f>
        <v>5.71447122200219</v>
      </c>
      <c r="E49" s="66">
        <f aca="true" t="shared" si="14" ref="E49:M49">+E22/E27</f>
        <v>5.956433286483219</v>
      </c>
      <c r="F49" s="66">
        <f t="shared" si="14"/>
        <v>6.412009704789678</v>
      </c>
      <c r="G49" s="66">
        <f t="shared" si="14"/>
        <v>7.587631575876718</v>
      </c>
      <c r="H49" s="66">
        <f t="shared" si="14"/>
        <v>4.65219907407407</v>
      </c>
      <c r="I49" s="66">
        <f t="shared" si="14"/>
        <v>3.880366161616161</v>
      </c>
      <c r="J49" s="66">
        <f t="shared" si="14"/>
        <v>4.600457702020201</v>
      </c>
      <c r="K49" s="66">
        <f t="shared" si="14"/>
        <v>5.800610269360269</v>
      </c>
      <c r="L49" s="66">
        <f t="shared" si="14"/>
        <v>8.200915404040403</v>
      </c>
      <c r="M49" s="66">
        <f t="shared" si="14"/>
        <v>15.401830808080804</v>
      </c>
    </row>
    <row r="50" spans="1:13" ht="15.75">
      <c r="A50" s="14" t="s">
        <v>132</v>
      </c>
      <c r="B50" s="68">
        <v>34</v>
      </c>
      <c r="D50" s="66">
        <f>D39/D33</f>
        <v>1.0680450038817831E-16</v>
      </c>
      <c r="E50" s="66">
        <f aca="true" t="shared" si="15" ref="E50:M50">E39/E33</f>
        <v>0</v>
      </c>
      <c r="F50" s="66">
        <f t="shared" si="15"/>
        <v>6.980571477883456E-17</v>
      </c>
      <c r="G50" s="66">
        <f t="shared" si="15"/>
        <v>6.700859227173104E-17</v>
      </c>
      <c r="H50" s="66">
        <f t="shared" si="15"/>
        <v>0</v>
      </c>
      <c r="I50" s="66">
        <f t="shared" si="15"/>
        <v>0.24750039425325762</v>
      </c>
      <c r="J50" s="66">
        <f t="shared" si="15"/>
        <v>0.5840467357166722</v>
      </c>
      <c r="K50" s="66">
        <f t="shared" si="15"/>
        <v>0.9205930771800869</v>
      </c>
      <c r="L50" s="66">
        <f t="shared" si="15"/>
        <v>1.2571394186435014</v>
      </c>
      <c r="M50" s="66">
        <f t="shared" si="15"/>
        <v>1.593685760106916</v>
      </c>
    </row>
    <row r="51" ht="15.75"/>
  </sheetData>
  <sheetProtection password="CA09" sheet="1" objects="1" scenarios="1"/>
  <printOptions headings="1"/>
  <pageMargins left="0.5511811023622047" right="0.35433070866141736" top="0.3937007874015748" bottom="0.3937007874015748" header="0.31496062992125984" footer="0.31496062992125984"/>
  <pageSetup horizontalDpi="600" verticalDpi="600" orientation="landscape" paperSize="9" scale="70" r:id="rId3"/>
  <legacyDrawing r:id="rId2"/>
</worksheet>
</file>

<file path=xl/worksheets/sheet5.xml><?xml version="1.0" encoding="utf-8"?>
<worksheet xmlns="http://schemas.openxmlformats.org/spreadsheetml/2006/main" xmlns:r="http://schemas.openxmlformats.org/officeDocument/2006/relationships">
  <dimension ref="A1:B190"/>
  <sheetViews>
    <sheetView view="pageBreakPreview" zoomScaleSheetLayoutView="100" workbookViewId="0" topLeftCell="A1">
      <selection activeCell="A2" sqref="A2"/>
    </sheetView>
  </sheetViews>
  <sheetFormatPr defaultColWidth="9.00390625" defaultRowHeight="16.5"/>
  <cols>
    <col min="1" max="1" width="8.625" style="43" customWidth="1"/>
    <col min="2" max="2" width="86.625" style="100" customWidth="1"/>
    <col min="3" max="16384" width="9.00390625" style="42" customWidth="1"/>
  </cols>
  <sheetData>
    <row r="1" spans="1:2" s="89" customFormat="1" ht="15.75">
      <c r="A1" s="126" t="s">
        <v>137</v>
      </c>
      <c r="B1" s="126"/>
    </row>
    <row r="2" spans="1:2" s="89" customFormat="1" ht="15">
      <c r="A2" s="90"/>
      <c r="B2" s="100"/>
    </row>
    <row r="3" spans="1:2" s="89" customFormat="1" ht="81" customHeight="1">
      <c r="A3" s="125" t="s">
        <v>0</v>
      </c>
      <c r="B3" s="125"/>
    </row>
    <row r="4" spans="1:2" s="89" customFormat="1" ht="15">
      <c r="A4" s="90"/>
      <c r="B4" s="100"/>
    </row>
    <row r="5" spans="1:2" s="89" customFormat="1" ht="15.75">
      <c r="A5" s="91" t="s">
        <v>136</v>
      </c>
      <c r="B5" s="100"/>
    </row>
    <row r="6" spans="1:2" s="89" customFormat="1" ht="15">
      <c r="A6" s="90"/>
      <c r="B6" s="100"/>
    </row>
    <row r="7" spans="1:2" s="95" customFormat="1" ht="15.75">
      <c r="A7" s="96">
        <v>1</v>
      </c>
      <c r="B7" s="101" t="s">
        <v>138</v>
      </c>
    </row>
    <row r="8" s="95" customFormat="1" ht="78" customHeight="1">
      <c r="B8" s="102" t="s">
        <v>1</v>
      </c>
    </row>
    <row r="9" s="95" customFormat="1" ht="15">
      <c r="B9" s="103"/>
    </row>
    <row r="10" s="95" customFormat="1" ht="30">
      <c r="B10" s="107" t="s">
        <v>51</v>
      </c>
    </row>
    <row r="11" s="95" customFormat="1" ht="15">
      <c r="B11" s="104"/>
    </row>
    <row r="12" spans="1:2" s="95" customFormat="1" ht="15.75">
      <c r="A12" s="96">
        <v>2</v>
      </c>
      <c r="B12" s="101" t="s">
        <v>158</v>
      </c>
    </row>
    <row r="13" s="95" customFormat="1" ht="48" customHeight="1">
      <c r="B13" s="100" t="s">
        <v>2</v>
      </c>
    </row>
    <row r="14" s="95" customFormat="1" ht="15">
      <c r="B14" s="100"/>
    </row>
    <row r="15" s="95" customFormat="1" ht="15">
      <c r="B15" s="107" t="s">
        <v>36</v>
      </c>
    </row>
    <row r="16" s="95" customFormat="1" ht="15">
      <c r="B16" s="104"/>
    </row>
    <row r="17" spans="1:2" s="95" customFormat="1" ht="15.75">
      <c r="A17" s="96">
        <v>3</v>
      </c>
      <c r="B17" s="101" t="s">
        <v>64</v>
      </c>
    </row>
    <row r="18" s="95" customFormat="1" ht="66.75" customHeight="1">
      <c r="B18" s="100" t="s">
        <v>3</v>
      </c>
    </row>
    <row r="19" s="95" customFormat="1" ht="15">
      <c r="B19" s="100"/>
    </row>
    <row r="20" spans="1:2" s="89" customFormat="1" ht="109.5" customHeight="1">
      <c r="A20" s="92"/>
      <c r="B20" s="107" t="s">
        <v>40</v>
      </c>
    </row>
    <row r="21" spans="1:2" s="89" customFormat="1" ht="15">
      <c r="A21" s="92"/>
      <c r="B21" s="104"/>
    </row>
    <row r="22" spans="1:2" s="95" customFormat="1" ht="15.75">
      <c r="A22" s="96">
        <v>4</v>
      </c>
      <c r="B22" s="101" t="s">
        <v>116</v>
      </c>
    </row>
    <row r="23" spans="1:2" s="89" customFormat="1" ht="98.25" customHeight="1">
      <c r="A23" s="92"/>
      <c r="B23" s="100" t="s">
        <v>4</v>
      </c>
    </row>
    <row r="24" spans="1:2" s="89" customFormat="1" ht="15">
      <c r="A24" s="92"/>
      <c r="B24" s="100"/>
    </row>
    <row r="25" spans="1:2" s="89" customFormat="1" ht="15">
      <c r="A25" s="92"/>
      <c r="B25" s="100"/>
    </row>
    <row r="26" spans="1:2" s="95" customFormat="1" ht="15.75">
      <c r="A26" s="96">
        <v>5</v>
      </c>
      <c r="B26" s="101" t="s">
        <v>117</v>
      </c>
    </row>
    <row r="27" s="95" customFormat="1" ht="30">
      <c r="B27" s="100" t="s">
        <v>5</v>
      </c>
    </row>
    <row r="28" s="95" customFormat="1" ht="15">
      <c r="B28" s="100"/>
    </row>
    <row r="29" s="95" customFormat="1" ht="60">
      <c r="B29" s="107" t="s">
        <v>37</v>
      </c>
    </row>
    <row r="30" s="95" customFormat="1" ht="15">
      <c r="B30" s="104"/>
    </row>
    <row r="31" s="95" customFormat="1" ht="51" customHeight="1">
      <c r="B31" s="107" t="s">
        <v>38</v>
      </c>
    </row>
    <row r="32" s="95" customFormat="1" ht="15">
      <c r="B32" s="104"/>
    </row>
    <row r="33" s="95" customFormat="1" ht="30">
      <c r="B33" s="107" t="s">
        <v>39</v>
      </c>
    </row>
    <row r="34" s="95" customFormat="1" ht="15">
      <c r="B34" s="104"/>
    </row>
    <row r="35" spans="1:2" s="95" customFormat="1" ht="15.75">
      <c r="A35" s="96">
        <v>6</v>
      </c>
      <c r="B35" s="101" t="s">
        <v>70</v>
      </c>
    </row>
    <row r="36" s="95" customFormat="1" ht="83.25" customHeight="1">
      <c r="B36" s="100" t="s">
        <v>6</v>
      </c>
    </row>
    <row r="37" s="95" customFormat="1" ht="15">
      <c r="B37" s="100"/>
    </row>
    <row r="38" s="95" customFormat="1" ht="15">
      <c r="B38" s="107" t="s">
        <v>45</v>
      </c>
    </row>
    <row r="39" s="95" customFormat="1" ht="15">
      <c r="B39" s="104"/>
    </row>
    <row r="40" spans="1:2" s="95" customFormat="1" ht="15.75">
      <c r="A40" s="96">
        <v>7</v>
      </c>
      <c r="B40" s="101" t="s">
        <v>148</v>
      </c>
    </row>
    <row r="41" s="95" customFormat="1" ht="30">
      <c r="B41" s="100" t="s">
        <v>7</v>
      </c>
    </row>
    <row r="42" s="95" customFormat="1" ht="15">
      <c r="B42" s="100"/>
    </row>
    <row r="43" s="95" customFormat="1" ht="30">
      <c r="B43" s="107" t="s">
        <v>46</v>
      </c>
    </row>
    <row r="44" s="95" customFormat="1" ht="15">
      <c r="B44" s="104"/>
    </row>
    <row r="45" spans="1:2" s="89" customFormat="1" ht="45">
      <c r="A45" s="92"/>
      <c r="B45" s="107" t="s">
        <v>41</v>
      </c>
    </row>
    <row r="46" spans="1:2" s="89" customFormat="1" ht="15">
      <c r="A46" s="92"/>
      <c r="B46" s="104"/>
    </row>
    <row r="47" spans="1:2" s="95" customFormat="1" ht="15.75">
      <c r="A47" s="96">
        <v>8</v>
      </c>
      <c r="B47" s="101" t="s">
        <v>71</v>
      </c>
    </row>
    <row r="48" s="95" customFormat="1" ht="30">
      <c r="B48" s="100" t="s">
        <v>8</v>
      </c>
    </row>
    <row r="49" s="95" customFormat="1" ht="15">
      <c r="B49" s="100"/>
    </row>
    <row r="50" s="95" customFormat="1" ht="15">
      <c r="B50" s="107" t="s">
        <v>47</v>
      </c>
    </row>
    <row r="51" s="95" customFormat="1" ht="15">
      <c r="B51" s="104"/>
    </row>
    <row r="52" spans="1:2" s="96" customFormat="1" ht="15.75">
      <c r="A52" s="96">
        <v>9</v>
      </c>
      <c r="B52" s="101" t="s">
        <v>73</v>
      </c>
    </row>
    <row r="53" s="95" customFormat="1" ht="15">
      <c r="B53" s="100" t="s">
        <v>9</v>
      </c>
    </row>
    <row r="54" s="95" customFormat="1" ht="15">
      <c r="B54" s="100"/>
    </row>
    <row r="55" spans="1:2" s="96" customFormat="1" ht="15.75">
      <c r="A55" s="96">
        <v>10</v>
      </c>
      <c r="B55" s="101" t="s">
        <v>118</v>
      </c>
    </row>
    <row r="56" s="95" customFormat="1" ht="80.25" customHeight="1">
      <c r="B56" s="100" t="s">
        <v>10</v>
      </c>
    </row>
    <row r="57" s="95" customFormat="1" ht="30">
      <c r="B57" s="100" t="s">
        <v>11</v>
      </c>
    </row>
    <row r="58" s="95" customFormat="1" ht="15">
      <c r="B58" s="100"/>
    </row>
    <row r="59" spans="1:2" s="96" customFormat="1" ht="15.75">
      <c r="A59" s="96">
        <v>11</v>
      </c>
      <c r="B59" s="101" t="s">
        <v>77</v>
      </c>
    </row>
    <row r="60" s="95" customFormat="1" ht="45">
      <c r="B60" s="100" t="s">
        <v>12</v>
      </c>
    </row>
    <row r="61" s="95" customFormat="1" ht="15">
      <c r="B61" s="100"/>
    </row>
    <row r="62" spans="1:2" s="95" customFormat="1" ht="15.75">
      <c r="A62" s="96">
        <v>12</v>
      </c>
      <c r="B62" s="101" t="s">
        <v>119</v>
      </c>
    </row>
    <row r="63" spans="1:2" s="89" customFormat="1" ht="97.5" customHeight="1">
      <c r="A63" s="92"/>
      <c r="B63" s="100" t="s">
        <v>13</v>
      </c>
    </row>
    <row r="64" spans="1:2" s="89" customFormat="1" ht="15">
      <c r="A64" s="92"/>
      <c r="B64" s="100"/>
    </row>
    <row r="65" spans="1:2" s="95" customFormat="1" ht="15.75">
      <c r="A65" s="96">
        <v>13</v>
      </c>
      <c r="B65" s="101" t="s">
        <v>120</v>
      </c>
    </row>
    <row r="66" spans="1:2" s="89" customFormat="1" ht="55.5" customHeight="1">
      <c r="A66" s="92"/>
      <c r="B66" s="100" t="s">
        <v>14</v>
      </c>
    </row>
    <row r="67" spans="1:2" s="89" customFormat="1" ht="15">
      <c r="A67" s="92"/>
      <c r="B67" s="100"/>
    </row>
    <row r="68" spans="1:2" s="95" customFormat="1" ht="15.75">
      <c r="A68" s="96">
        <v>14</v>
      </c>
      <c r="B68" s="101" t="s">
        <v>140</v>
      </c>
    </row>
    <row r="69" s="95" customFormat="1" ht="15">
      <c r="B69" s="100" t="s">
        <v>15</v>
      </c>
    </row>
    <row r="70" s="95" customFormat="1" ht="15">
      <c r="B70" s="100"/>
    </row>
    <row r="71" spans="1:2" s="95" customFormat="1" ht="15.75">
      <c r="A71" s="96">
        <v>15</v>
      </c>
      <c r="B71" s="101" t="s">
        <v>133</v>
      </c>
    </row>
    <row r="72" s="95" customFormat="1" ht="15">
      <c r="B72" s="100" t="s">
        <v>16</v>
      </c>
    </row>
    <row r="73" s="95" customFormat="1" ht="15">
      <c r="B73" s="100"/>
    </row>
    <row r="74" spans="1:2" s="95" customFormat="1" ht="15.75">
      <c r="A74" s="96">
        <v>16</v>
      </c>
      <c r="B74" s="101" t="s">
        <v>121</v>
      </c>
    </row>
    <row r="75" s="95" customFormat="1" ht="81.75" customHeight="1">
      <c r="B75" s="100" t="s">
        <v>17</v>
      </c>
    </row>
    <row r="76" s="95" customFormat="1" ht="15">
      <c r="B76" s="100"/>
    </row>
    <row r="77" s="95" customFormat="1" ht="15">
      <c r="B77" s="107" t="s">
        <v>52</v>
      </c>
    </row>
    <row r="78" s="95" customFormat="1" ht="15">
      <c r="B78" s="104"/>
    </row>
    <row r="79" spans="1:2" s="95" customFormat="1" ht="15.75">
      <c r="A79" s="96">
        <v>17</v>
      </c>
      <c r="B79" s="101" t="s">
        <v>122</v>
      </c>
    </row>
    <row r="80" s="95" customFormat="1" ht="54" customHeight="1">
      <c r="B80" s="100" t="s">
        <v>18</v>
      </c>
    </row>
    <row r="81" s="95" customFormat="1" ht="15">
      <c r="B81" s="100"/>
    </row>
    <row r="82" spans="1:2" s="96" customFormat="1" ht="15.75">
      <c r="A82" s="96">
        <v>18</v>
      </c>
      <c r="B82" s="105" t="s">
        <v>153</v>
      </c>
    </row>
    <row r="83" s="95" customFormat="1" ht="30">
      <c r="B83" s="100" t="s">
        <v>19</v>
      </c>
    </row>
    <row r="84" s="95" customFormat="1" ht="15">
      <c r="B84" s="100"/>
    </row>
    <row r="85" spans="1:2" s="95" customFormat="1" ht="15.75">
      <c r="A85" s="96">
        <v>19</v>
      </c>
      <c r="B85" s="105" t="s">
        <v>20</v>
      </c>
    </row>
    <row r="86" s="95" customFormat="1" ht="15">
      <c r="B86" s="100" t="s">
        <v>21</v>
      </c>
    </row>
    <row r="87" s="95" customFormat="1" ht="15">
      <c r="B87" s="100"/>
    </row>
    <row r="88" s="95" customFormat="1" ht="15">
      <c r="B88" s="100"/>
    </row>
    <row r="89" s="95" customFormat="1" ht="15">
      <c r="B89" s="100"/>
    </row>
    <row r="90" spans="1:2" s="96" customFormat="1" ht="15.75">
      <c r="A90" s="96">
        <v>20</v>
      </c>
      <c r="B90" s="101" t="s">
        <v>123</v>
      </c>
    </row>
    <row r="91" s="95" customFormat="1" ht="30">
      <c r="B91" s="100" t="s">
        <v>22</v>
      </c>
    </row>
    <row r="92" s="95" customFormat="1" ht="15">
      <c r="B92" s="100"/>
    </row>
    <row r="93" s="95" customFormat="1" ht="45.75" customHeight="1">
      <c r="B93" s="107" t="s">
        <v>159</v>
      </c>
    </row>
    <row r="94" spans="1:2" s="96" customFormat="1" ht="15.75">
      <c r="A94" s="96">
        <v>21</v>
      </c>
      <c r="B94" s="101" t="s">
        <v>23</v>
      </c>
    </row>
    <row r="95" spans="1:2" s="89" customFormat="1" ht="45">
      <c r="A95" s="92"/>
      <c r="B95" s="100" t="s">
        <v>42</v>
      </c>
    </row>
    <row r="96" spans="1:2" s="89" customFormat="1" ht="15">
      <c r="A96" s="92"/>
      <c r="B96" s="100"/>
    </row>
    <row r="97" spans="1:2" s="96" customFormat="1" ht="15.75">
      <c r="A97" s="96">
        <v>22</v>
      </c>
      <c r="B97" s="101" t="s">
        <v>90</v>
      </c>
    </row>
    <row r="98" spans="1:2" s="89" customFormat="1" ht="57" customHeight="1">
      <c r="A98" s="92"/>
      <c r="B98" s="100" t="s">
        <v>24</v>
      </c>
    </row>
    <row r="99" spans="1:2" s="89" customFormat="1" ht="15">
      <c r="A99" s="92"/>
      <c r="B99" s="100"/>
    </row>
    <row r="100" spans="1:2" s="96" customFormat="1" ht="15.75">
      <c r="A100" s="96">
        <v>23</v>
      </c>
      <c r="B100" s="106" t="s">
        <v>93</v>
      </c>
    </row>
    <row r="101" spans="1:2" s="89" customFormat="1" ht="45">
      <c r="A101" s="92"/>
      <c r="B101" s="100" t="s">
        <v>25</v>
      </c>
    </row>
    <row r="102" spans="1:2" s="89" customFormat="1" ht="15">
      <c r="A102" s="92"/>
      <c r="B102" s="100"/>
    </row>
    <row r="103" spans="1:2" s="97" customFormat="1" ht="32.25" customHeight="1">
      <c r="A103" s="98"/>
      <c r="B103" s="107" t="s">
        <v>160</v>
      </c>
    </row>
    <row r="104" spans="1:2" s="97" customFormat="1" ht="15">
      <c r="A104" s="98"/>
      <c r="B104" s="104"/>
    </row>
    <row r="105" spans="1:2" s="96" customFormat="1" ht="15.75">
      <c r="A105" s="96">
        <v>24</v>
      </c>
      <c r="B105" s="106" t="s">
        <v>124</v>
      </c>
    </row>
    <row r="106" s="95" customFormat="1" ht="60.75">
      <c r="B106" s="100" t="s">
        <v>26</v>
      </c>
    </row>
    <row r="107" s="95" customFormat="1" ht="15">
      <c r="B107" s="100"/>
    </row>
    <row r="108" spans="1:2" s="96" customFormat="1" ht="15.75">
      <c r="A108" s="96">
        <v>25</v>
      </c>
      <c r="B108" s="106" t="s">
        <v>125</v>
      </c>
    </row>
    <row r="109" s="95" customFormat="1" ht="75">
      <c r="B109" s="100" t="s">
        <v>27</v>
      </c>
    </row>
    <row r="110" s="95" customFormat="1" ht="15">
      <c r="B110" s="100"/>
    </row>
    <row r="111" spans="1:2" s="93" customFormat="1" ht="45">
      <c r="A111" s="99"/>
      <c r="B111" s="107" t="s">
        <v>161</v>
      </c>
    </row>
    <row r="112" spans="1:2" s="93" customFormat="1" ht="15">
      <c r="A112" s="99"/>
      <c r="B112" s="104"/>
    </row>
    <row r="113" spans="1:2" s="96" customFormat="1" ht="15.75">
      <c r="A113" s="96">
        <v>26</v>
      </c>
      <c r="B113" s="106" t="s">
        <v>126</v>
      </c>
    </row>
    <row r="114" spans="1:2" s="89" customFormat="1" ht="75">
      <c r="A114" s="92"/>
      <c r="B114" s="100" t="s">
        <v>28</v>
      </c>
    </row>
    <row r="115" spans="1:2" s="89" customFormat="1" ht="15">
      <c r="A115" s="92"/>
      <c r="B115" s="100"/>
    </row>
    <row r="116" spans="1:2" s="89" customFormat="1" ht="15">
      <c r="A116" s="92"/>
      <c r="B116" s="100"/>
    </row>
    <row r="117" spans="1:2" s="89" customFormat="1" ht="15">
      <c r="A117" s="92"/>
      <c r="B117" s="100"/>
    </row>
    <row r="118" spans="1:2" s="96" customFormat="1" ht="15.75">
      <c r="A118" s="96">
        <v>27</v>
      </c>
      <c r="B118" s="106" t="s">
        <v>127</v>
      </c>
    </row>
    <row r="119" s="95" customFormat="1" ht="30">
      <c r="B119" s="100" t="s">
        <v>29</v>
      </c>
    </row>
    <row r="120" s="95" customFormat="1" ht="15">
      <c r="B120" s="100"/>
    </row>
    <row r="121" spans="1:2" s="96" customFormat="1" ht="15.75">
      <c r="A121" s="96">
        <v>28</v>
      </c>
      <c r="B121" s="106" t="s">
        <v>128</v>
      </c>
    </row>
    <row r="122" s="95" customFormat="1" ht="30">
      <c r="B122" s="100" t="s">
        <v>30</v>
      </c>
    </row>
    <row r="123" s="95" customFormat="1" ht="15">
      <c r="B123" s="100"/>
    </row>
    <row r="124" s="95" customFormat="1" ht="30">
      <c r="B124" s="107" t="s">
        <v>162</v>
      </c>
    </row>
    <row r="125" s="95" customFormat="1" ht="15">
      <c r="B125" s="104"/>
    </row>
    <row r="126" spans="1:2" s="96" customFormat="1" ht="15.75">
      <c r="A126" s="96">
        <v>29</v>
      </c>
      <c r="B126" s="106" t="s">
        <v>134</v>
      </c>
    </row>
    <row r="127" spans="1:2" s="89" customFormat="1" ht="45">
      <c r="A127" s="92"/>
      <c r="B127" s="100" t="s">
        <v>31</v>
      </c>
    </row>
    <row r="128" spans="1:2" s="89" customFormat="1" ht="15">
      <c r="A128" s="92"/>
      <c r="B128" s="100"/>
    </row>
    <row r="129" spans="1:2" s="96" customFormat="1" ht="15.75">
      <c r="A129" s="96">
        <v>30</v>
      </c>
      <c r="B129" s="106" t="s">
        <v>129</v>
      </c>
    </row>
    <row r="130" spans="1:2" s="89" customFormat="1" ht="45">
      <c r="A130" s="92"/>
      <c r="B130" s="100" t="s">
        <v>32</v>
      </c>
    </row>
    <row r="131" spans="1:2" s="89" customFormat="1" ht="15">
      <c r="A131" s="92"/>
      <c r="B131" s="100"/>
    </row>
    <row r="132" spans="1:2" s="96" customFormat="1" ht="15.75">
      <c r="A132" s="96">
        <v>31</v>
      </c>
      <c r="B132" s="106" t="s">
        <v>131</v>
      </c>
    </row>
    <row r="133" s="95" customFormat="1" ht="75">
      <c r="B133" s="100" t="s">
        <v>33</v>
      </c>
    </row>
    <row r="134" s="95" customFormat="1" ht="15">
      <c r="B134" s="100"/>
    </row>
    <row r="135" spans="1:2" s="89" customFormat="1" ht="45">
      <c r="A135" s="92"/>
      <c r="B135" s="107" t="s">
        <v>161</v>
      </c>
    </row>
    <row r="136" spans="1:2" s="89" customFormat="1" ht="15">
      <c r="A136" s="92"/>
      <c r="B136" s="104"/>
    </row>
    <row r="137" spans="1:2" s="96" customFormat="1" ht="15.75">
      <c r="A137" s="96">
        <v>32</v>
      </c>
      <c r="B137" s="106" t="s">
        <v>130</v>
      </c>
    </row>
    <row r="138" s="95" customFormat="1" ht="30">
      <c r="B138" s="100" t="s">
        <v>30</v>
      </c>
    </row>
    <row r="139" s="95" customFormat="1" ht="15">
      <c r="B139" s="100"/>
    </row>
    <row r="140" s="95" customFormat="1" ht="30">
      <c r="B140" s="107" t="s">
        <v>162</v>
      </c>
    </row>
    <row r="141" s="95" customFormat="1" ht="15">
      <c r="B141" s="104"/>
    </row>
    <row r="142" spans="1:2" s="96" customFormat="1" ht="15.75">
      <c r="A142" s="96">
        <v>33</v>
      </c>
      <c r="B142" s="106" t="s">
        <v>152</v>
      </c>
    </row>
    <row r="143" s="95" customFormat="1" ht="30">
      <c r="B143" s="100" t="s">
        <v>34</v>
      </c>
    </row>
    <row r="144" s="95" customFormat="1" ht="15">
      <c r="B144" s="100"/>
    </row>
    <row r="145" spans="1:2" s="96" customFormat="1" ht="15.75">
      <c r="A145" s="96">
        <v>34</v>
      </c>
      <c r="B145" s="106" t="s">
        <v>132</v>
      </c>
    </row>
    <row r="146" s="95" customFormat="1" ht="15">
      <c r="B146" s="100" t="s">
        <v>35</v>
      </c>
    </row>
    <row r="147" ht="15">
      <c r="A147" s="94"/>
    </row>
    <row r="148" ht="15">
      <c r="A148" s="94"/>
    </row>
    <row r="149" ht="15">
      <c r="A149" s="94"/>
    </row>
    <row r="150" ht="15">
      <c r="A150" s="94"/>
    </row>
    <row r="151" ht="15">
      <c r="A151" s="94"/>
    </row>
    <row r="152" ht="15">
      <c r="A152" s="94"/>
    </row>
    <row r="153" ht="15">
      <c r="A153" s="94"/>
    </row>
    <row r="154" ht="15">
      <c r="A154" s="94"/>
    </row>
    <row r="155" ht="15">
      <c r="A155" s="94"/>
    </row>
    <row r="156" ht="15">
      <c r="A156" s="94"/>
    </row>
    <row r="157" ht="15">
      <c r="A157" s="94"/>
    </row>
    <row r="158" ht="15">
      <c r="A158" s="94"/>
    </row>
    <row r="159" ht="15">
      <c r="A159" s="94"/>
    </row>
    <row r="160" ht="15">
      <c r="A160" s="94"/>
    </row>
    <row r="161" ht="15">
      <c r="A161" s="94"/>
    </row>
    <row r="162" ht="15">
      <c r="A162" s="94"/>
    </row>
    <row r="163" ht="15">
      <c r="A163" s="94"/>
    </row>
    <row r="164" ht="15">
      <c r="A164" s="94"/>
    </row>
    <row r="165" ht="15">
      <c r="A165" s="94"/>
    </row>
    <row r="166" ht="15">
      <c r="A166" s="94"/>
    </row>
    <row r="167" ht="15">
      <c r="A167" s="94"/>
    </row>
    <row r="168" ht="15">
      <c r="A168" s="94"/>
    </row>
    <row r="169" ht="15">
      <c r="A169" s="94"/>
    </row>
    <row r="170" ht="15">
      <c r="A170" s="94"/>
    </row>
    <row r="171" ht="15">
      <c r="A171" s="94"/>
    </row>
    <row r="172" ht="15">
      <c r="A172" s="94"/>
    </row>
    <row r="173" ht="15">
      <c r="A173" s="94"/>
    </row>
    <row r="174" ht="15">
      <c r="A174" s="94"/>
    </row>
    <row r="175" ht="15">
      <c r="A175" s="94"/>
    </row>
    <row r="176" ht="15">
      <c r="A176" s="94"/>
    </row>
    <row r="177" ht="15">
      <c r="A177" s="94"/>
    </row>
    <row r="178" ht="15">
      <c r="A178" s="94"/>
    </row>
    <row r="179" ht="15">
      <c r="A179" s="94"/>
    </row>
    <row r="180" ht="15">
      <c r="A180" s="94"/>
    </row>
    <row r="181" ht="15">
      <c r="A181" s="94"/>
    </row>
    <row r="182" ht="15">
      <c r="A182" s="94"/>
    </row>
    <row r="183" ht="15">
      <c r="A183" s="94"/>
    </row>
    <row r="184" ht="15">
      <c r="A184" s="94"/>
    </row>
    <row r="185" ht="15">
      <c r="A185" s="94"/>
    </row>
    <row r="186" ht="15">
      <c r="A186" s="94"/>
    </row>
    <row r="187" ht="15">
      <c r="A187" s="94"/>
    </row>
    <row r="188" ht="15">
      <c r="A188" s="94"/>
    </row>
    <row r="189" ht="15">
      <c r="A189" s="94"/>
    </row>
    <row r="190" ht="15">
      <c r="A190" s="94"/>
    </row>
  </sheetData>
  <sheetProtection password="CA09" sheet="1" objects="1" scenarios="1"/>
  <mergeCells count="2">
    <mergeCell ref="A3:B3"/>
    <mergeCell ref="A1:B1"/>
  </mergeCells>
  <printOptions/>
  <pageMargins left="0.44" right="0.39" top="0.35" bottom="0.17" header="0.34" footer="0.17"/>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HKSAR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WK_LEE</dc:creator>
  <cp:keywords/>
  <dc:description/>
  <cp:lastModifiedBy> </cp:lastModifiedBy>
  <cp:lastPrinted>2007-12-10T09:35:01Z</cp:lastPrinted>
  <dcterms:created xsi:type="dcterms:W3CDTF">2005-12-24T01:23:38Z</dcterms:created>
  <dcterms:modified xsi:type="dcterms:W3CDTF">2007-12-21T06:11:41Z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149054591</vt:i4>
  </property>
  <property fmtid="{D5CDD505-2E9C-101B-9397-08002B2CF9AE}" pid="3" name="_EmailSubject">
    <vt:lpwstr>Budget Analysis Worksheet in English</vt:lpwstr>
  </property>
  <property fmtid="{D5CDD505-2E9C-101B-9397-08002B2CF9AE}" pid="4" name="_AuthorEmail">
    <vt:lpwstr>sonia.khao@hk.accaglobal.com</vt:lpwstr>
  </property>
  <property fmtid="{D5CDD505-2E9C-101B-9397-08002B2CF9AE}" pid="5" name="_AuthorEmailDisplayName">
    <vt:lpwstr>Khao Sonia</vt:lpwstr>
  </property>
  <property fmtid="{D5CDD505-2E9C-101B-9397-08002B2CF9AE}" pid="6" name="_ReviewingToolsShownOnce">
    <vt:lpwstr/>
  </property>
</Properties>
</file>